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tables/table10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- INFRAESTRUTURA\BE-PMSa-MOD-ORC-BARREIRA ÚLTIMO\BE-PMSa-MOD-ORC-BARREIRA\Memórias de Cálculo\"/>
    </mc:Choice>
  </mc:AlternateContent>
  <xr:revisionPtr revIDLastSave="0" documentId="13_ncr:1_{81503200-FFB4-49B0-A592-C1BDC0980E5E}" xr6:coauthVersionLast="47" xr6:coauthVersionMax="47" xr10:uidLastSave="{00000000-0000-0000-0000-000000000000}"/>
  <bookViews>
    <workbookView xWindow="-28920" yWindow="-120" windowWidth="29040" windowHeight="15720" firstSheet="25" activeTab="25" xr2:uid="{00000000-000D-0000-FFFF-FFFF00000000}"/>
  </bookViews>
  <sheets>
    <sheet name="Orçamento" sheetId="1" r:id="rId1"/>
    <sheet name="13.2" sheetId="2" r:id="rId2"/>
    <sheet name="13.2.1" sheetId="3" r:id="rId3"/>
    <sheet name="13.2.2" sheetId="4" r:id="rId4"/>
    <sheet name="13.2.3" sheetId="5" r:id="rId5"/>
    <sheet name="13.2.4" sheetId="6" r:id="rId6"/>
    <sheet name="13.2.5" sheetId="7" r:id="rId7"/>
    <sheet name="13.2.6" sheetId="8" r:id="rId8"/>
    <sheet name="13.2.7" sheetId="9" r:id="rId9"/>
    <sheet name="13.2.8" sheetId="10" r:id="rId10"/>
    <sheet name="13.2.9" sheetId="11" r:id="rId11"/>
    <sheet name="13.2.10" sheetId="12" r:id="rId12"/>
    <sheet name="13.2.11" sheetId="13" r:id="rId13"/>
    <sheet name="13.2.12" sheetId="14" r:id="rId14"/>
    <sheet name="13.2.13" sheetId="15" r:id="rId15"/>
    <sheet name="13.2.14" sheetId="16" r:id="rId16"/>
    <sheet name="13.2.15" sheetId="17" r:id="rId17"/>
    <sheet name="13.2.16" sheetId="18" r:id="rId18"/>
    <sheet name="13.2.17" sheetId="19" r:id="rId19"/>
    <sheet name="13.2.18" sheetId="20" r:id="rId20"/>
    <sheet name="13.2.19" sheetId="21" r:id="rId21"/>
    <sheet name="13.2.20" sheetId="22" r:id="rId22"/>
    <sheet name="13.2.21" sheetId="23" r:id="rId23"/>
    <sheet name="13.2.22" sheetId="24" r:id="rId24"/>
    <sheet name="13.2.23" sheetId="25" r:id="rId25"/>
    <sheet name="13.2.24" sheetId="26" r:id="rId26"/>
    <sheet name="13.2.25" sheetId="27" r:id="rId27"/>
    <sheet name="13.2.26" sheetId="28" r:id="rId28"/>
    <sheet name="13.2.27" sheetId="29" r:id="rId29"/>
    <sheet name="13.2.28" sheetId="30" r:id="rId30"/>
    <sheet name="13.2.29" sheetId="31" r:id="rId31"/>
    <sheet name="13.2.30" sheetId="32" r:id="rId32"/>
    <sheet name="13.2.31" sheetId="33" r:id="rId33"/>
    <sheet name="13.2.32" sheetId="34" r:id="rId34"/>
    <sheet name="13.2.33" sheetId="35" r:id="rId35"/>
    <sheet name="13.2.34" sheetId="36" r:id="rId36"/>
    <sheet name="13.2.35" sheetId="37" r:id="rId37"/>
    <sheet name="13.2.36" sheetId="38" r:id="rId38"/>
    <sheet name="13.2.37" sheetId="39" r:id="rId39"/>
    <sheet name="13.2.38" sheetId="40" r:id="rId40"/>
    <sheet name="13.2.39" sheetId="41" r:id="rId41"/>
    <sheet name="13.2.40" sheetId="42" r:id="rId42"/>
    <sheet name="13.2.41" sheetId="43" r:id="rId43"/>
    <sheet name="13.2.42" sheetId="44" r:id="rId44"/>
    <sheet name="13.2.43" sheetId="45" r:id="rId45"/>
    <sheet name="13.2.44" sheetId="46" r:id="rId46"/>
    <sheet name="13.2.45" sheetId="47" r:id="rId47"/>
    <sheet name="13.2.46" sheetId="48" r:id="rId48"/>
    <sheet name="13.2.47" sheetId="49" r:id="rId49"/>
    <sheet name="13.2.48" sheetId="50" r:id="rId50"/>
    <sheet name="13.2.49" sheetId="51" r:id="rId51"/>
    <sheet name="13.2.50" sheetId="52" r:id="rId52"/>
    <sheet name="13.2.1E" sheetId="53" r:id="rId53"/>
    <sheet name="13.2.2E" sheetId="54" r:id="rId54"/>
    <sheet name="13.2.3E" sheetId="55" r:id="rId55"/>
    <sheet name="13.2.4E" sheetId="56" r:id="rId56"/>
    <sheet name="13.2.5E" sheetId="57" r:id="rId57"/>
    <sheet name="13.2.6E" sheetId="58" r:id="rId58"/>
    <sheet name="13.2.7E" sheetId="59" r:id="rId59"/>
    <sheet name="13.2.8E" sheetId="60" r:id="rId60"/>
    <sheet name="13.2.9E" sheetId="61" r:id="rId61"/>
    <sheet name="13.2.10E" sheetId="62" r:id="rId62"/>
    <sheet name="13.2.11E" sheetId="63" r:id="rId63"/>
    <sheet name="13.2.12E" sheetId="64" r:id="rId64"/>
    <sheet name="13.2.13E" sheetId="65" r:id="rId65"/>
    <sheet name="13.2.14E" sheetId="66" r:id="rId66"/>
    <sheet name="13.2.15E" sheetId="67" r:id="rId67"/>
    <sheet name="13.2.16E" sheetId="68" r:id="rId68"/>
    <sheet name="13.2.17E" sheetId="69" r:id="rId69"/>
    <sheet name="13.2.18E" sheetId="70" r:id="rId70"/>
    <sheet name="13.2.19E" sheetId="71" r:id="rId71"/>
    <sheet name="13.2.20E" sheetId="72" r:id="rId72"/>
    <sheet name="13.2.21E" sheetId="73" r:id="rId73"/>
    <sheet name="13.2.22E" sheetId="74" r:id="rId74"/>
    <sheet name="13.2.23E" sheetId="75" r:id="rId75"/>
    <sheet name="13.2.24E" sheetId="76" r:id="rId76"/>
    <sheet name="13.2.25E" sheetId="77" r:id="rId77"/>
    <sheet name="13.2.26E" sheetId="78" r:id="rId78"/>
    <sheet name="13.2.27E" sheetId="79" r:id="rId79"/>
    <sheet name="13.2.28E" sheetId="80" r:id="rId80"/>
    <sheet name="13.2.29E" sheetId="81" r:id="rId81"/>
    <sheet name="13.2.30E" sheetId="82" r:id="rId82"/>
    <sheet name="13.2.31E" sheetId="83" r:id="rId83"/>
    <sheet name="13.2.32E" sheetId="84" r:id="rId84"/>
    <sheet name="13.2.33E" sheetId="85" r:id="rId85"/>
    <sheet name="13.2.34E" sheetId="86" r:id="rId86"/>
    <sheet name="13.2.35E" sheetId="87" r:id="rId87"/>
    <sheet name="13.2.36E" sheetId="88" r:id="rId88"/>
    <sheet name="13.2.37E" sheetId="89" r:id="rId89"/>
    <sheet name="13.2.38E" sheetId="90" r:id="rId90"/>
    <sheet name="13.2.39E" sheetId="91" r:id="rId91"/>
    <sheet name="13.2.40E" sheetId="92" r:id="rId92"/>
    <sheet name="13.2.41E" sheetId="93" r:id="rId93"/>
    <sheet name="13.2.42E" sheetId="94" r:id="rId94"/>
    <sheet name="13.2.43E" sheetId="95" r:id="rId95"/>
    <sheet name="13.2.44E" sheetId="96" r:id="rId96"/>
    <sheet name="13.2.45E" sheetId="97" r:id="rId97"/>
    <sheet name="13.2.46E" sheetId="98" r:id="rId98"/>
    <sheet name="13.2.47E" sheetId="99" r:id="rId99"/>
    <sheet name="13.2.48E" sheetId="100" r:id="rId100"/>
    <sheet name="13.2.49E" sheetId="101" r:id="rId101"/>
    <sheet name="13.2.50E" sheetId="102" r:id="rId102"/>
  </sheets>
  <calcPr calcId="191029"/>
</workbook>
</file>

<file path=xl/calcChain.xml><?xml version="1.0" encoding="utf-8"?>
<calcChain xmlns="http://schemas.openxmlformats.org/spreadsheetml/2006/main">
  <c r="E15" i="102" l="1"/>
  <c r="C15" i="102"/>
  <c r="E58" i="101"/>
  <c r="C58" i="101"/>
  <c r="E10" i="100"/>
  <c r="C10" i="100"/>
  <c r="E15" i="99"/>
  <c r="C15" i="99"/>
  <c r="E11" i="98"/>
  <c r="C11" i="98"/>
  <c r="E51" i="97"/>
  <c r="C51" i="97"/>
  <c r="E27" i="96"/>
  <c r="C27" i="96"/>
  <c r="E76" i="95"/>
  <c r="C76" i="95"/>
  <c r="E36" i="94"/>
  <c r="C36" i="94"/>
  <c r="E35" i="93"/>
  <c r="C35" i="93"/>
  <c r="E8" i="92"/>
  <c r="C8" i="92"/>
  <c r="E65" i="91"/>
  <c r="C65" i="91"/>
  <c r="E30" i="90"/>
  <c r="C30" i="90"/>
  <c r="E91" i="89"/>
  <c r="C91" i="89"/>
  <c r="E252" i="88"/>
  <c r="C252" i="88"/>
  <c r="E12" i="87"/>
  <c r="C12" i="87"/>
  <c r="E493" i="86"/>
  <c r="C493" i="86"/>
  <c r="E13" i="85"/>
  <c r="C13" i="85"/>
  <c r="E16" i="84"/>
  <c r="C16" i="84"/>
  <c r="E17" i="83"/>
  <c r="C17" i="83"/>
  <c r="E57" i="82"/>
  <c r="C57" i="82"/>
  <c r="E17" i="81"/>
  <c r="C17" i="81"/>
  <c r="E15" i="80"/>
  <c r="C15" i="80"/>
  <c r="E13" i="79"/>
  <c r="C13" i="79"/>
  <c r="E240" i="78"/>
  <c r="C240" i="78"/>
  <c r="E109" i="78"/>
  <c r="C109" i="78"/>
  <c r="E9" i="77"/>
  <c r="C9" i="77"/>
  <c r="E18" i="76"/>
  <c r="C18" i="76"/>
  <c r="E324" i="75"/>
  <c r="C324" i="75"/>
  <c r="E261" i="74"/>
  <c r="C261" i="74"/>
  <c r="E15" i="73"/>
  <c r="C15" i="73"/>
  <c r="E616" i="72"/>
  <c r="C616" i="72"/>
  <c r="E51" i="71"/>
  <c r="C51" i="71"/>
  <c r="E13" i="70"/>
  <c r="C13" i="70"/>
  <c r="E60" i="69"/>
  <c r="C60" i="69"/>
  <c r="E40" i="68"/>
  <c r="C40" i="68"/>
  <c r="E50" i="67"/>
  <c r="C50" i="67"/>
  <c r="E23" i="66"/>
  <c r="C23" i="66"/>
  <c r="E58" i="65"/>
  <c r="C58" i="65"/>
  <c r="E34" i="64"/>
  <c r="C34" i="64"/>
  <c r="E17" i="64"/>
  <c r="C17" i="64"/>
  <c r="E45" i="63"/>
  <c r="C45" i="63"/>
  <c r="E28" i="63"/>
  <c r="C28" i="63"/>
  <c r="E13" i="62"/>
  <c r="C13" i="62"/>
  <c r="E13" i="61"/>
  <c r="C13" i="61"/>
  <c r="E65" i="60"/>
  <c r="C65" i="60"/>
  <c r="E8" i="59"/>
  <c r="C8" i="59"/>
  <c r="E132" i="58"/>
  <c r="C132" i="58"/>
  <c r="E10" i="57"/>
  <c r="C10" i="57"/>
  <c r="E15" i="56"/>
  <c r="C15" i="56"/>
  <c r="E10" i="55"/>
  <c r="C10" i="55"/>
  <c r="E35" i="54"/>
  <c r="C35" i="54"/>
  <c r="E13" i="53"/>
  <c r="C13" i="53"/>
  <c r="E9" i="52"/>
  <c r="C9" i="52"/>
  <c r="E9" i="51"/>
  <c r="C9" i="51"/>
  <c r="E9" i="50"/>
  <c r="C9" i="50"/>
  <c r="E9" i="49"/>
  <c r="C9" i="49"/>
  <c r="E9" i="48"/>
  <c r="C9" i="48"/>
  <c r="E9" i="47"/>
  <c r="C9" i="47"/>
  <c r="E9" i="46"/>
  <c r="C9" i="46"/>
  <c r="E9" i="45"/>
  <c r="C9" i="45"/>
  <c r="E9" i="44"/>
  <c r="C9" i="44"/>
  <c r="E9" i="43"/>
  <c r="C9" i="43"/>
  <c r="E9" i="42"/>
  <c r="C9" i="42"/>
  <c r="E9" i="41"/>
  <c r="C9" i="41"/>
  <c r="E9" i="40"/>
  <c r="C9" i="40"/>
  <c r="E9" i="39"/>
  <c r="C9" i="39"/>
  <c r="E9" i="38"/>
  <c r="C9" i="38"/>
  <c r="E9" i="37"/>
  <c r="C9" i="37"/>
  <c r="E9" i="36"/>
  <c r="C9" i="36"/>
  <c r="E9" i="35"/>
  <c r="C9" i="35"/>
  <c r="E9" i="34"/>
  <c r="C9" i="34"/>
  <c r="E9" i="33"/>
  <c r="C9" i="33"/>
  <c r="E9" i="32"/>
  <c r="C9" i="32"/>
  <c r="E9" i="31"/>
  <c r="C9" i="31"/>
  <c r="E9" i="30"/>
  <c r="C9" i="30"/>
  <c r="E9" i="29"/>
  <c r="C9" i="29"/>
  <c r="E10" i="28"/>
  <c r="C10" i="28"/>
  <c r="E9" i="27"/>
  <c r="C9" i="27"/>
  <c r="E9" i="26"/>
  <c r="C9" i="26"/>
  <c r="E9" i="25"/>
  <c r="C9" i="25"/>
  <c r="E9" i="24"/>
  <c r="C9" i="24"/>
  <c r="E9" i="23"/>
  <c r="C9" i="23"/>
  <c r="E9" i="22"/>
  <c r="C9" i="22"/>
  <c r="E9" i="21"/>
  <c r="C9" i="21"/>
  <c r="E9" i="20"/>
  <c r="C9" i="20"/>
  <c r="E9" i="19"/>
  <c r="C9" i="19"/>
  <c r="E9" i="18"/>
  <c r="C9" i="18"/>
  <c r="E9" i="17"/>
  <c r="C9" i="17"/>
  <c r="E9" i="16"/>
  <c r="C9" i="16"/>
  <c r="E9" i="15"/>
  <c r="C9" i="15"/>
  <c r="E10" i="14"/>
  <c r="C10" i="14"/>
  <c r="E10" i="13"/>
  <c r="C10" i="13"/>
  <c r="E9" i="12"/>
  <c r="C9" i="12"/>
  <c r="E9" i="11"/>
  <c r="C9" i="11"/>
  <c r="E9" i="10"/>
  <c r="C9" i="10"/>
  <c r="E9" i="9"/>
  <c r="C9" i="9"/>
  <c r="E9" i="8"/>
  <c r="C9" i="8"/>
  <c r="E9" i="7"/>
  <c r="C9" i="7"/>
  <c r="E9" i="6"/>
  <c r="C9" i="6"/>
  <c r="E9" i="5"/>
  <c r="C9" i="5"/>
  <c r="E9" i="4"/>
  <c r="C9" i="4"/>
  <c r="E9" i="3"/>
  <c r="C9" i="3"/>
</calcChain>
</file>

<file path=xl/sharedStrings.xml><?xml version="1.0" encoding="utf-8"?>
<sst xmlns="http://schemas.openxmlformats.org/spreadsheetml/2006/main" count="18484" uniqueCount="3340">
  <si>
    <t>REV-BE-PMSa-MOD-ORC-BARREIRA-EX-000-R00-ONERADO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</si>
  <si>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</si>
  <si>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</si>
  <si>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</si>
  <si>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</si>
  <si>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</si>
  <si>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</si>
  <si>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</si>
  <si>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</si>
  <si>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</si>
  <si>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13.2</t>
  </si>
  <si>
    <t>REDE HIDRAULICA</t>
  </si>
  <si>
    <t>13.2.1</t>
  </si>
  <si>
    <t>15.038.0356-0</t>
  </si>
  <si>
    <t>EMOP</t>
  </si>
  <si>
    <t>LUVA SOLDAVEL,COM DIAMETRO DE 25MM.FORNECIMENTO</t>
  </si>
  <si>
    <t>un</t>
  </si>
  <si>
    <t>6,00</t>
  </si>
  <si>
    <t>13.2.2</t>
  </si>
  <si>
    <t>15.038.0360-0</t>
  </si>
  <si>
    <t>LUVA SOLDAVEL,COM DIAMETRO DE 60MM.FORNECIMENTO</t>
  </si>
  <si>
    <t>28,00</t>
  </si>
  <si>
    <t>13.2.3</t>
  </si>
  <si>
    <t>15.038.0359-0</t>
  </si>
  <si>
    <t>LUVA SOLDAVEL,COM DIAMETRO DE 50MM.FORNECIMENTO</t>
  </si>
  <si>
    <t>3,00</t>
  </si>
  <si>
    <t>13.2.4</t>
  </si>
  <si>
    <t>15.038.0467-0</t>
  </si>
  <si>
    <t>LUVA SOLDAVEL E COM BUCHA DE LATAO,COM DIAMETRO DE 25MMX3/4&amp;quot; .FORNECIMENTO</t>
  </si>
  <si>
    <t>8,00</t>
  </si>
  <si>
    <t>13.2.5</t>
  </si>
  <si>
    <t>89579</t>
  </si>
  <si>
    <t>SINAPI</t>
  </si>
  <si>
    <t>LUVA DE REDUÇÃO, PVC, SOLDÁVEL, DN 50MM X 25MM, INSTALADO EM PRUMADA DE ÁGUA   FORNECIMENTO E INSTALAÇÃO. AF_06/2022</t>
  </si>
  <si>
    <t>13.2.6</t>
  </si>
  <si>
    <t>063456</t>
  </si>
  <si>
    <t>SBC</t>
  </si>
  <si>
    <t>LEITOS - SUPORTE PARA PERFILADOS</t>
  </si>
  <si>
    <t>125,00</t>
  </si>
  <si>
    <t>13.2.7</t>
  </si>
  <si>
    <t>15.001.0077-0</t>
  </si>
  <si>
    <t>HIDROMETRO COM DIAMETRO DE 1/2”.FORNECIMENTO</t>
  </si>
  <si>
    <t>1,00</t>
  </si>
  <si>
    <t>13.2.8</t>
  </si>
  <si>
    <t>15.029.0011-0</t>
  </si>
  <si>
    <t>REGISTRO DE GAVETA BRUTO,COM DIAMETRO DE 3/4&amp;quot;.FORNECIMENTO E COLOCACAO</t>
  </si>
  <si>
    <t>58,00</t>
  </si>
  <si>
    <t>13.2.9</t>
  </si>
  <si>
    <t>18.013.0156-0</t>
  </si>
  <si>
    <t>REGISTRO DE PRESSAO,1416 DE 3/4&amp;quot;,COM CANOPLA E VOLANTE EM ME TAL CROMADO.FORNECIMENTO</t>
  </si>
  <si>
    <t>13.2.10</t>
  </si>
  <si>
    <t>15.030.0034-0</t>
  </si>
  <si>
    <t>REGISTRO DE ESFERA,EM PVC,SOLDAVEL,COM DIAMETRO DE 25MM.FORN ECIMENTO E COLOCACAO</t>
  </si>
  <si>
    <t>13.2.11</t>
  </si>
  <si>
    <t>15.030.0038-0</t>
  </si>
  <si>
    <t>REGISTRO EM ESFERA,EM PVC,SOLDAVEL,COM DIAMETRO DE 50MM.FORN ECIMENTO E COLOCACAO</t>
  </si>
  <si>
    <t>29,00</t>
  </si>
  <si>
    <t>13.2.12</t>
  </si>
  <si>
    <t>15.030.0040-0</t>
  </si>
  <si>
    <t>REGISTRO DE ESFERA,EM PVC,SOLDAVEL,COM DIAMETRO DE 60MM.FORN ECIMENTO E COLOCACAO</t>
  </si>
  <si>
    <t>18,00</t>
  </si>
  <si>
    <t>13.2.13</t>
  </si>
  <si>
    <t>15.038.0404-0</t>
  </si>
  <si>
    <t>TE DE REDUCAO 90º SOLDAVEL,COM DIAMETRO DE 50MMX25MM.FORNECI MENTO</t>
  </si>
  <si>
    <t>51,00</t>
  </si>
  <si>
    <t>13.2.14</t>
  </si>
  <si>
    <t>15.038.0386-0</t>
  </si>
  <si>
    <t>TE SOLDAVEL 90º,COM DIAMETRO DE 25MM.FORNECIMENTO</t>
  </si>
  <si>
    <t>16,00</t>
  </si>
  <si>
    <t>13.2.15</t>
  </si>
  <si>
    <t>15.038.0389-0</t>
  </si>
  <si>
    <t>TE SOLDAVEL 90º,COM DIAMETRO DE 50MM.FORNECIMENTO</t>
  </si>
  <si>
    <t>43,00</t>
  </si>
  <si>
    <t>13.2.16</t>
  </si>
  <si>
    <t>15.038.0390-0</t>
  </si>
  <si>
    <t>TE SOLDAVEL 90º,COM DIAMETRO DE 60MM.FORNECIMENTO</t>
  </si>
  <si>
    <t>33,00</t>
  </si>
  <si>
    <t>13.2.17</t>
  </si>
  <si>
    <t>15.038.0472-0</t>
  </si>
  <si>
    <t>TE 90º SOLDAVEL E COM BUCHA DE LATAO NA BOLSA CENTRAL,COM DI AMETRO DE 25MMX25MMX3/4&amp;quot;.FORNECIMENTO</t>
  </si>
  <si>
    <t>53,00</t>
  </si>
  <si>
    <t>13.2.18</t>
  </si>
  <si>
    <t>18.011.0003-0</t>
  </si>
  <si>
    <t>TORNEIRA DE BOIA EM PLASTICO,PARA CAIXA D&amp;apos;AGUA,DE 1/2&amp;quot;.FORNE CIMENTO E COLOCACAO</t>
  </si>
  <si>
    <t>13.2.19</t>
  </si>
  <si>
    <t>15.038.0244-0</t>
  </si>
  <si>
    <t>ADAPTADOR SOLDAVEL COM FLANGES E ANEL DE VEDACAO PARA CAIXA D&amp;apos;AGUA,COM DIAMETRO DE 50MMX1.1/2&amp;quot;.FORNECIMENTO</t>
  </si>
  <si>
    <t>44,00</t>
  </si>
  <si>
    <t>13.2.20</t>
  </si>
  <si>
    <t>06.271.0061-0</t>
  </si>
  <si>
    <t>TUBO DE PVC RIGIDO SOLDAVEL,PARA AGUA FRIA, COM DIAMETRO DE 25MM.FORNECIMENTO</t>
  </si>
  <si>
    <t>m</t>
  </si>
  <si>
    <t>889,14</t>
  </si>
  <si>
    <t>13.2.21</t>
  </si>
  <si>
    <t>06.271.0062-0</t>
  </si>
  <si>
    <t>TUBO DE PVC RIGIDO SOLDAVEL,PARA AGUA FRIA, COM DIAMETRO DE 32MM.FORNECIMENTO</t>
  </si>
  <si>
    <t>0,51</t>
  </si>
  <si>
    <t>13.2.22</t>
  </si>
  <si>
    <t>06.271.0065-0</t>
  </si>
  <si>
    <t>TUBO DE PVC RIGIDO SOLDAVEL,PARA AGUA FRIA, COM DIAMETRO DE 60MM.FORNECIMENTO</t>
  </si>
  <si>
    <t>313,94</t>
  </si>
  <si>
    <t>13.2.23</t>
  </si>
  <si>
    <t>06.271.0064-0</t>
  </si>
  <si>
    <t>TUBO DE PVC RIGIDO SOLDAVEL,PARA AGUA FRIA, COM DIAMETRO DE 50MM.FORNECIMENTO</t>
  </si>
  <si>
    <t>188,57</t>
  </si>
  <si>
    <t>13.2.24</t>
  </si>
  <si>
    <t>ADAPTADOR SOLDAVEL COM FLANGES E ANEL DE VEDACAO PARA CAIXA D&amp;apos;AGUA,COM DIAMETRO DE 60MMX2”.FORNECIMENTO</t>
  </si>
  <si>
    <t>11,00</t>
  </si>
  <si>
    <t>13.2.25</t>
  </si>
  <si>
    <t>89430</t>
  </si>
  <si>
    <t>CURVA DE TRANSPOSIÇÃO, PVC, SOLDÁVEL, DN 25MM, INSTALADO EM RAMAL DE DISTRIBUIÇÃO DE ÁGUA   FORNECIMENTO E INSTALAÇÃO. AF_06/2022</t>
  </si>
  <si>
    <t>2,00</t>
  </si>
  <si>
    <t>13.2.26</t>
  </si>
  <si>
    <t>15.038.0201-0</t>
  </si>
  <si>
    <t>ADAPTADOR SOLDAVEL CURTO COM BOLSA E ROSCA PARA REGISTRO,COM DIAMETRO DE 25MMX3/4&amp;quot;.FORNECIMENTO</t>
  </si>
  <si>
    <t>224,00</t>
  </si>
  <si>
    <t>13.2.27</t>
  </si>
  <si>
    <t>15.038.0206-0</t>
  </si>
  <si>
    <t>ADAPTADOR SOLDAVEL CURTO COM BOLSA E ROSCA PARA REGISTRO,COM DIAMETRO DE 50MMX1.1/2”.FORNECIMENTO</t>
  </si>
  <si>
    <t>13.2.28</t>
  </si>
  <si>
    <t>15.038.0267-0</t>
  </si>
  <si>
    <t>BUCHA DE REDUCAO SOLDAVEL LONGA,COM DIAMETRO DE 60MMX32MM.FO RNECIMENTO</t>
  </si>
  <si>
    <t>13.2.29</t>
  </si>
  <si>
    <t>18.021.0042-0</t>
  </si>
  <si>
    <t>RESERVATORIO APOIADO PARA ARMAZENAMENTO DE AGUA POTAVEL OU P ARA APROVEITAMENTO DE AGUA DA CHUVA AAC,EM FIBRA DE VIDRO OU POLIETILENO,COM CAPACIDADE EM TORNO DE 3000L,INCLUSIVE TAMP A DE VEDACAO COM ESCOTILHA E FIXADORES,CONFORME ABNT NBR 155 27,12217 E 8220.FORNECIMENTO</t>
  </si>
  <si>
    <t>10,00</t>
  </si>
  <si>
    <t>13.2.30</t>
  </si>
  <si>
    <t>15.038.0305-0</t>
  </si>
  <si>
    <t>CURVA 90º SOLDAVEL,COM DIAMETRO DE 60MM.FORNECIMENTO</t>
  </si>
  <si>
    <t>50,00</t>
  </si>
  <si>
    <t>13.2.31</t>
  </si>
  <si>
    <t>15.028.0017-0</t>
  </si>
  <si>
    <t>COLOCACAO DE RESERVATORIO DE FRIBROCIMENTO,FIBRA DE VIDRO OU SEMELHANTE DE 3.000L,INCLUSIVE PECAS DE APOIO EM ALVENARIA E MADEIRA SERRADA,E FLANGES DE LIGACAO HIDRAULICA,EXCLUSIVE FORNECIMENTO DO RESERVATORIO</t>
  </si>
  <si>
    <t>13.2.32</t>
  </si>
  <si>
    <t>15.007.0705-0</t>
  </si>
  <si>
    <t>CHAVE BOIA,AUTOMATICA,DE MERCURIO,UNIPOLAR.FORNECIMENTO E CO LOCACAO</t>
  </si>
  <si>
    <t>9,00</t>
  </si>
  <si>
    <t>13.2.33</t>
  </si>
  <si>
    <t>15.038.0291-0</t>
  </si>
  <si>
    <t>CURVA 45º SOLDAVEL,COM DIAMETRO DE 25MM.FORNECIMENTO</t>
  </si>
  <si>
    <t>13.2.34</t>
  </si>
  <si>
    <t>00039131</t>
  </si>
  <si>
    <t>ABRACADEIRA EM ACO PARA AMARRACAO DE ELETRODUTOS, TIPO D, COM 1 1/2&amp;quot; E CUNHA DE FIXACAO</t>
  </si>
  <si>
    <t>243,00</t>
  </si>
  <si>
    <t>13.2.35</t>
  </si>
  <si>
    <t>15.038.0294-0</t>
  </si>
  <si>
    <t>CURVA 45º SOLDAVEL,COM DIAMETRO DE 60MM.FORNECIMENTO</t>
  </si>
  <si>
    <t>5,00</t>
  </si>
  <si>
    <t>13.2.36</t>
  </si>
  <si>
    <t>15.038.0301-0</t>
  </si>
  <si>
    <t>CURVA 90º SOLDAVEL,COM DIAMETRO DE 25MM.FORNECIMENTO</t>
  </si>
  <si>
    <t>245,00</t>
  </si>
  <si>
    <t>13.2.37</t>
  </si>
  <si>
    <t>15.038.0304-0</t>
  </si>
  <si>
    <t>CURVA 90º SOLDAVEL,COM DIAMETRO DE 50MM.FORNECIMENTO</t>
  </si>
  <si>
    <t>84,00</t>
  </si>
  <si>
    <t>13.2.38</t>
  </si>
  <si>
    <t>15.038.0321-0</t>
  </si>
  <si>
    <t>JOELHO 45º SOLDAVEL,COM DIAMETRO DE 25MM.FORNECIMENTO</t>
  </si>
  <si>
    <t>23,00</t>
  </si>
  <si>
    <t>13.2.39</t>
  </si>
  <si>
    <t>15.038.0336-0</t>
  </si>
  <si>
    <t>JOELHO 90º SOLDAVEL,COM DIAMETRO DE 25MM.FORNECIMENTO</t>
  </si>
  <si>
    <t>13.2.40</t>
  </si>
  <si>
    <t>052078</t>
  </si>
  <si>
    <t>VALVULA DE RETENCAO HORIZONTAL 3/4””</t>
  </si>
  <si>
    <t>13.2.41</t>
  </si>
  <si>
    <t>15.038.0339-0</t>
  </si>
  <si>
    <t>JOELHO 90º SOLDAVEL,COM DIAMETRO DE 50MM.FORNECIMENTO</t>
  </si>
  <si>
    <t>13.2.42</t>
  </si>
  <si>
    <t>15.038.0340-0</t>
  </si>
  <si>
    <t>JOELHO 90º SOLDAVEL,COM DIAMETRO DE 60MM.FORNECIMENTO</t>
  </si>
  <si>
    <t>13.2.43</t>
  </si>
  <si>
    <t>15.038.0457-0</t>
  </si>
  <si>
    <t>JOELHO 90º SOLDAVEL E COM BUCHA DE LATAO,COM DIAMETRO DE 25M MX3/4&amp;quot;.FORNECIMENTO</t>
  </si>
  <si>
    <t>69,00</t>
  </si>
  <si>
    <t>13.2.44</t>
  </si>
  <si>
    <t>15.038.0424-0</t>
  </si>
  <si>
    <t>UNIAO SOLDAVEL,COM DIAMETRO DE 50MM.FORNECIMENTO</t>
  </si>
  <si>
    <t>20,00</t>
  </si>
  <si>
    <t>13.2.45</t>
  </si>
  <si>
    <t>15.038.0425-0</t>
  </si>
  <si>
    <t>UNIAO SOLDAVEL,COM DIAMETRO DE 60MM.FORNECIMENTO</t>
  </si>
  <si>
    <t>13.2.46</t>
  </si>
  <si>
    <t>15.030.0056-0</t>
  </si>
  <si>
    <t>VALVULA DE PE,COM CRIVO EM PVC,SOLDAVEL,COM DIAMETRO DE 50MM .FORNECIMENTO E COLOCACAO</t>
  </si>
  <si>
    <t>4,00</t>
  </si>
  <si>
    <t>13.2.47</t>
  </si>
  <si>
    <t>15.030.0078-0</t>
  </si>
  <si>
    <t>VALVULA DE RETENCAO VERTICAL,EM PVC,SOLDAVEL,COM DIAMETRO DE 60MM.FORNECIMENTO E COLOCACAO</t>
  </si>
  <si>
    <t>13.2.48</t>
  </si>
  <si>
    <t>95252</t>
  </si>
  <si>
    <t>VÁLVULA DE ESFERA BRUTA, BRONZE, ROSCÁVEL, 1 1/2&amp;apos;&amp;apos; - FORNECIMENTO E INSTALAÇÃO. AF_08/2021</t>
  </si>
  <si>
    <t>13.2.49</t>
  </si>
  <si>
    <t>95249</t>
  </si>
  <si>
    <t>VÁLVULA DE ESFERA BRUTA, BRONZE, ROSCÁVEL, 3/4&amp;apos;&amp;apos; - FORNECIMENTO E INSTALAÇÃO. AF_08/2021</t>
  </si>
  <si>
    <t>13.2.50</t>
  </si>
  <si>
    <t>IEQ002600</t>
  </si>
  <si>
    <t>SCO</t>
  </si>
  <si>
    <t>Bomba - Moto Bomba, auto escorvante, com motor a gasolina de 4CV, bocal de succao de 2&amp;quot; e recalque de 1 1/2&amp;quot;, modelo GHS-120, Darka ou similar</t>
  </si>
  <si>
    <t>6</t>
  </si>
  <si>
    <t>Resumo do Critério</t>
  </si>
  <si>
    <t>Tipo</t>
  </si>
  <si>
    <t>Elementos</t>
  </si>
  <si>
    <t>Nome do Subcritério</t>
  </si>
  <si>
    <t>Categoria</t>
  </si>
  <si>
    <t>Conexões de tubo (Afastamento)</t>
  </si>
  <si>
    <t/>
  </si>
  <si>
    <t>Adicionar a</t>
  </si>
  <si>
    <t>Seleção</t>
  </si>
  <si>
    <t>Afastamento</t>
  </si>
  <si>
    <t>Filtro de Família</t>
  </si>
  <si>
    <t>Família</t>
  </si>
  <si>
    <t>AF_Soldavel_Luva</t>
  </si>
  <si>
    <t>Standard</t>
  </si>
  <si>
    <t>Ou</t>
  </si>
  <si>
    <t>Filtro de Parâmetro</t>
  </si>
  <si>
    <t>Comparação</t>
  </si>
  <si>
    <t>Valor</t>
  </si>
  <si>
    <t>Parâmetro</t>
  </si>
  <si>
    <t>Instância</t>
  </si>
  <si>
    <t>Igual a</t>
  </si>
  <si>
    <t xml:space="preserve">Luva Soldável 25mm, PVC Marrom, Água Fria </t>
  </si>
  <si>
    <t>DarivaBIM: Descrição</t>
  </si>
  <si>
    <t>E</t>
  </si>
  <si>
    <t>28</t>
  </si>
  <si>
    <t xml:space="preserve">Luva Soldável 60mm, PVC Marrom, Água Fria </t>
  </si>
  <si>
    <t>3</t>
  </si>
  <si>
    <t xml:space="preserve">Luva Soldável 50mm, PVC Marrom, Água Fria </t>
  </si>
  <si>
    <t>8</t>
  </si>
  <si>
    <t>Filtro de Fase</t>
  </si>
  <si>
    <t>Criado em</t>
  </si>
  <si>
    <t>Demolido em</t>
  </si>
  <si>
    <t>------</t>
  </si>
  <si>
    <t>AF_Soldavel_Luva com Bucha de Latao</t>
  </si>
  <si>
    <t xml:space="preserve">Luva Soldável e com Bucha de Latão 25 x 3/4'', PVC Marrom, Água Fria </t>
  </si>
  <si>
    <t>AF_Soldavel_Luva de Reducao</t>
  </si>
  <si>
    <t>Luva de Redução Soldável 50x25mm, PVC Marrom, Água Fria</t>
  </si>
  <si>
    <t>125</t>
  </si>
  <si>
    <t>Acessórios do tubo (A)</t>
  </si>
  <si>
    <t>A</t>
  </si>
  <si>
    <t>Perfilado Perfurado Galvanizado - ERIKBIM</t>
  </si>
  <si>
    <t>19x38 mm</t>
  </si>
  <si>
    <t>Perfilado Perfurado Gavanizado - 19x38 mm</t>
  </si>
  <si>
    <t>1</t>
  </si>
  <si>
    <t>AF_Hidrômetro residencial</t>
  </si>
  <si>
    <t>Hidrômetro - Designação Y - Qn = 0,75 m³/h</t>
  </si>
  <si>
    <t>58</t>
  </si>
  <si>
    <t>VLV_Registro de gaveta</t>
  </si>
  <si>
    <t>3/4"</t>
  </si>
  <si>
    <t>Registro de gaveta 3/4"</t>
  </si>
  <si>
    <t>AF_Registro de Pressão</t>
  </si>
  <si>
    <t>Ø3/4" (25mm)</t>
  </si>
  <si>
    <t>Registro de pressão DocolBase 3/4"</t>
  </si>
  <si>
    <t>AF_Registro Esfera VS</t>
  </si>
  <si>
    <t>Soldável - 25 mm</t>
  </si>
  <si>
    <t>Registro Esfera VS Soldável 25mm</t>
  </si>
  <si>
    <t>29</t>
  </si>
  <si>
    <t>Soldável - 50 mm</t>
  </si>
  <si>
    <t>Registro Esfera VS Soldável 50mm</t>
  </si>
  <si>
    <t>Soldável com união - 50 mm</t>
  </si>
  <si>
    <t>Registro Esfera VS Soldável com União 50mm</t>
  </si>
  <si>
    <t>18</t>
  </si>
  <si>
    <t>Dividido por</t>
  </si>
  <si>
    <t>Soldável - 60 mm</t>
  </si>
  <si>
    <t>Registro Esfera VS Soldável 60mm</t>
  </si>
  <si>
    <t>Soldável com União - 60 mm</t>
  </si>
  <si>
    <t>Registro Esfera VS Soldável Com União 60mm</t>
  </si>
  <si>
    <t>51</t>
  </si>
  <si>
    <t>Conexões de tubo</t>
  </si>
  <si>
    <t>Tê de Redução Soldável 50x25mm, PVC Marrom, Água Fria</t>
  </si>
  <si>
    <t>16</t>
  </si>
  <si>
    <t>Tê Soldável 25mm, PVC Marrom, Água Fria</t>
  </si>
  <si>
    <t>43</t>
  </si>
  <si>
    <t>Tê Soldável 50mm, PVC Marrom, Água Fria</t>
  </si>
  <si>
    <t>33</t>
  </si>
  <si>
    <t>Tê Soldável 60mm, PVC Marrom, Água Fria</t>
  </si>
  <si>
    <t>53</t>
  </si>
  <si>
    <t>AF_Soldavel_Te com Bucha de Latao</t>
  </si>
  <si>
    <t xml:space="preserve">Tê Soldável com Bucha de Latão na Bolsa Central 25 x 3/4'', PVC Marrom, Água Fria </t>
  </si>
  <si>
    <t>Peças hidrossanitárias (Afastamento Adaptador)</t>
  </si>
  <si>
    <t>Afastamento Adaptador</t>
  </si>
  <si>
    <t>PÇ_Torneira boia_Fortlev</t>
  </si>
  <si>
    <t>1/2"</t>
  </si>
  <si>
    <t>Torneira bóia 1/2"</t>
  </si>
  <si>
    <t>44</t>
  </si>
  <si>
    <t>AF_Soldavel_Adaptador para Caixa Dagua</t>
  </si>
  <si>
    <t>Adaptador Soldável com Anel para Caixa d'Água 50mm, PVC Marrom</t>
  </si>
  <si>
    <t>Tubulação</t>
  </si>
  <si>
    <t>Comprimento</t>
  </si>
  <si>
    <t>25,00 mmø</t>
  </si>
  <si>
    <t>Tamanho</t>
  </si>
  <si>
    <t>32,00 mmø</t>
  </si>
  <si>
    <t>Tubulação (Comprimento)</t>
  </si>
  <si>
    <t>Tipos de tubos</t>
  </si>
  <si>
    <t>AF_Tubo Marrom Soldável</t>
  </si>
  <si>
    <t>Tubo Soldável Marrom</t>
  </si>
  <si>
    <t>60,00 mmø</t>
  </si>
  <si>
    <t>50,00 mmø</t>
  </si>
  <si>
    <t>11</t>
  </si>
  <si>
    <t>Adaptador Soldável com Anel para Caixa d'Água 60mm, PVC Marrom</t>
  </si>
  <si>
    <t>2</t>
  </si>
  <si>
    <t>AF_Soldavel_Curva de Transposicao</t>
  </si>
  <si>
    <t xml:space="preserve">Curva de Transposição Soldável 25mm, PVC Marrom, Água Fria </t>
  </si>
  <si>
    <t>224</t>
  </si>
  <si>
    <t>AN_AF_Soldavel_Adaptador Curto com Bolsa e Rosca</t>
  </si>
  <si>
    <t>Adaptador Soldável Curto com Bolsa e Rosca para Registro 25 x 3/4'', PVC Marrom, Água Fria</t>
  </si>
  <si>
    <t>AF_Soldavel_Adaptador Curto com Bolsa e Rosca</t>
  </si>
  <si>
    <t xml:space="preserve">Adaptador Soldável Curto com Bolsa e Rosca para Registro 25 x 3/4'', PVC Marrom, Água Fria </t>
  </si>
  <si>
    <t>Adaptador Soldável Curto com Bolsa e Rosca para Registro 50 x 1.1/2'', PVC Marrom, Água Fria</t>
  </si>
  <si>
    <t>AF_Soldavel_Bucha de Reducao Longa</t>
  </si>
  <si>
    <t xml:space="preserve">Bucha de Redução Soldável Longa 60x32mm, PVC Marrom, Água Fria </t>
  </si>
  <si>
    <t>10</t>
  </si>
  <si>
    <t>RES_Caixa dagua de polietileno_Fortlev</t>
  </si>
  <si>
    <t>3000 L</t>
  </si>
  <si>
    <t>Caixa d’água de polietileno, 3.000 litros - FortLev</t>
  </si>
  <si>
    <t>50</t>
  </si>
  <si>
    <t>Curva 90º Soldável 60mm, PVC Marrom, Água Fria</t>
  </si>
  <si>
    <t>9</t>
  </si>
  <si>
    <t>Bóia Eletrônica 2022</t>
  </si>
  <si>
    <t>CHAVE DE BOIA AUTOMÁTICA SUPERIOR/INFERIOR 15A/250V</t>
  </si>
  <si>
    <t>Chave de Bóia automática Superior/Inferior</t>
  </si>
  <si>
    <t>Curva 45º Soldável 25mm, PVC Marrom, Água Fria</t>
  </si>
  <si>
    <t>243</t>
  </si>
  <si>
    <t>Acessórios do tubo</t>
  </si>
  <si>
    <t>Abraçadeira Tipo D com Parafuso - ERIKBIM</t>
  </si>
  <si>
    <t>5</t>
  </si>
  <si>
    <t>AF_Soldavel_Curva 45_90</t>
  </si>
  <si>
    <t>Curva 45º Soldável 60mm, PVC Marrom, Água Fria</t>
  </si>
  <si>
    <t>245</t>
  </si>
  <si>
    <t>Curva 90º Soldável 25mm, PVC Marrom, Água Fria</t>
  </si>
  <si>
    <t>84</t>
  </si>
  <si>
    <t>Curva 90º Soldável 50mm, PVC Marrom, Água Fria</t>
  </si>
  <si>
    <t>23</t>
  </si>
  <si>
    <t>Joelho 45º Soldável 25mm, PVC Marrom, Água Fria</t>
  </si>
  <si>
    <t>Joelho 90º Soldável 25mm, PVC Marrom, Água Fria</t>
  </si>
  <si>
    <t>AF_Soldavel_Valvula de Retencao</t>
  </si>
  <si>
    <t>Valvula de Retenção Soldável 25mm</t>
  </si>
  <si>
    <t>Joelho 90º Soldável 50mm, PVC Marrom, Água Fria</t>
  </si>
  <si>
    <t>Joelho 90º Soldável 60mm, PVC Marrom, Água Fria</t>
  </si>
  <si>
    <t>69</t>
  </si>
  <si>
    <t>AF_Soldavel_Joelho 90 com Bucha de Latao</t>
  </si>
  <si>
    <t xml:space="preserve">Joelho 90º Soldável com Bucha de Latão 25 x 3/4'', PVC Marrom, Água Fria </t>
  </si>
  <si>
    <t>20</t>
  </si>
  <si>
    <t>AF_Soldavel_Uniao</t>
  </si>
  <si>
    <t xml:space="preserve">União Soldável 50mm, PVC Marrom, Água Fria </t>
  </si>
  <si>
    <t xml:space="preserve">União Soldável 60mm, PVC Marrom, Água Fria </t>
  </si>
  <si>
    <t>4</t>
  </si>
  <si>
    <t>Válvula de pé com Crivo Soldável 50mm</t>
  </si>
  <si>
    <t xml:space="preserve">Valvula de Retencao - Agua Fria - MEP - </t>
  </si>
  <si>
    <t>Valvula de Retenção soldável 60mm</t>
  </si>
  <si>
    <t>VLV_Valvula de esfera com alavanca vermelha</t>
  </si>
  <si>
    <t>1 1/2"</t>
  </si>
  <si>
    <t>Válvula de esfera com alavanca vermelha 1 1/2"</t>
  </si>
  <si>
    <t>Válvula de esfera com alavanca vermelha 3/4"</t>
  </si>
  <si>
    <t>Bomba de recalque1</t>
  </si>
  <si>
    <t>Bomba de recalque</t>
  </si>
  <si>
    <t>SCHINEIDER - BC-92 S/T 1C (1 CV)</t>
  </si>
  <si>
    <t>Projeto</t>
  </si>
  <si>
    <t>Vínculo</t>
  </si>
  <si>
    <t>Elemento</t>
  </si>
  <si>
    <t>Id do Revit</t>
  </si>
  <si>
    <t>Totais:</t>
  </si>
  <si>
    <t>BE-PMSa-MOD-HID-BARREIRA-EX-000-R00</t>
  </si>
  <si>
    <t>28688030</t>
  </si>
  <si>
    <t>28688034</t>
  </si>
  <si>
    <t>28688038</t>
  </si>
  <si>
    <t>28688042</t>
  </si>
  <si>
    <t>28688046</t>
  </si>
  <si>
    <t>28688050</t>
  </si>
  <si>
    <t>28379287</t>
  </si>
  <si>
    <t>28688010</t>
  </si>
  <si>
    <t>28688014</t>
  </si>
  <si>
    <t>28688018</t>
  </si>
  <si>
    <t>28688022</t>
  </si>
  <si>
    <t>28688026</t>
  </si>
  <si>
    <t>28688054</t>
  </si>
  <si>
    <t>28688139</t>
  </si>
  <si>
    <t>28688147</t>
  </si>
  <si>
    <t>28688151</t>
  </si>
  <si>
    <t>28688155</t>
  </si>
  <si>
    <t>28688159</t>
  </si>
  <si>
    <t>28688163</t>
  </si>
  <si>
    <t>28688167</t>
  </si>
  <si>
    <t>28688171</t>
  </si>
  <si>
    <t>28688175</t>
  </si>
  <si>
    <t>28688179</t>
  </si>
  <si>
    <t>28688191</t>
  </si>
  <si>
    <t>28688195</t>
  </si>
  <si>
    <t>27956446</t>
  </si>
  <si>
    <t>27956681</t>
  </si>
  <si>
    <t>27956904</t>
  </si>
  <si>
    <t>27957112</t>
  </si>
  <si>
    <t>27957299</t>
  </si>
  <si>
    <t>27958109</t>
  </si>
  <si>
    <t>27959284</t>
  </si>
  <si>
    <t>27960303</t>
  </si>
  <si>
    <t>27960929</t>
  </si>
  <si>
    <t>28688134</t>
  </si>
  <si>
    <t>28688183</t>
  </si>
  <si>
    <t>28688187</t>
  </si>
  <si>
    <t>28645186</t>
  </si>
  <si>
    <t>28645188</t>
  </si>
  <si>
    <t>28010970</t>
  </si>
  <si>
    <t>28012916</t>
  </si>
  <si>
    <t>28017798</t>
  </si>
  <si>
    <t>28010459</t>
  </si>
  <si>
    <t>28415995</t>
  </si>
  <si>
    <t>28416012</t>
  </si>
  <si>
    <t>29320004</t>
  </si>
  <si>
    <t>29320125</t>
  </si>
  <si>
    <t>29320365</t>
  </si>
  <si>
    <t>28602091</t>
  </si>
  <si>
    <t>28625080</t>
  </si>
  <si>
    <t>28625715</t>
  </si>
  <si>
    <t>29245640</t>
  </si>
  <si>
    <t>29252588</t>
  </si>
  <si>
    <t>29103469</t>
  </si>
  <si>
    <t>29073593</t>
  </si>
  <si>
    <t>29108592</t>
  </si>
  <si>
    <t>29115187</t>
  </si>
  <si>
    <t>29363484</t>
  </si>
  <si>
    <t>29119875</t>
  </si>
  <si>
    <t>29119901</t>
  </si>
  <si>
    <t>29257481</t>
  </si>
  <si>
    <t>29257495</t>
  </si>
  <si>
    <t>29257514</t>
  </si>
  <si>
    <t>29120038</t>
  </si>
  <si>
    <t>29120079</t>
  </si>
  <si>
    <t>29120139</t>
  </si>
  <si>
    <t>29120584</t>
  </si>
  <si>
    <t>29121818</t>
  </si>
  <si>
    <t>29122216</t>
  </si>
  <si>
    <t>28424608</t>
  </si>
  <si>
    <t>28434434</t>
  </si>
  <si>
    <t>28449271</t>
  </si>
  <si>
    <t>29157707</t>
  </si>
  <si>
    <t>29157907</t>
  </si>
  <si>
    <t>29157989</t>
  </si>
  <si>
    <t>29158063</t>
  </si>
  <si>
    <t>29158129</t>
  </si>
  <si>
    <t>29158205</t>
  </si>
  <si>
    <t>29158281</t>
  </si>
  <si>
    <t>29158300</t>
  </si>
  <si>
    <t>29158371</t>
  </si>
  <si>
    <t>29158487</t>
  </si>
  <si>
    <t>29158521</t>
  </si>
  <si>
    <t>29158555</t>
  </si>
  <si>
    <t>29158597</t>
  </si>
  <si>
    <t>29160491</t>
  </si>
  <si>
    <t>29160525</t>
  </si>
  <si>
    <t>29160561</t>
  </si>
  <si>
    <t>29157473</t>
  </si>
  <si>
    <t>28647756</t>
  </si>
  <si>
    <t>28647788</t>
  </si>
  <si>
    <t>28647817</t>
  </si>
  <si>
    <t>28647854</t>
  </si>
  <si>
    <t>28647862</t>
  </si>
  <si>
    <t>28647880</t>
  </si>
  <si>
    <t>29127082</t>
  </si>
  <si>
    <t>29127112</t>
  </si>
  <si>
    <t>29127146</t>
  </si>
  <si>
    <t>29127381</t>
  </si>
  <si>
    <t>29127918</t>
  </si>
  <si>
    <t>29129294</t>
  </si>
  <si>
    <t>29136588</t>
  </si>
  <si>
    <t>29137592</t>
  </si>
  <si>
    <t>29137606</t>
  </si>
  <si>
    <t>29137623</t>
  </si>
  <si>
    <t>29137638</t>
  </si>
  <si>
    <t>29137649</t>
  </si>
  <si>
    <t>29137663</t>
  </si>
  <si>
    <t>29137686</t>
  </si>
  <si>
    <t>29137699</t>
  </si>
  <si>
    <t>29137715</t>
  </si>
  <si>
    <t>28496892</t>
  </si>
  <si>
    <t>28498040</t>
  </si>
  <si>
    <t>28498048</t>
  </si>
  <si>
    <t>28498062</t>
  </si>
  <si>
    <t>28502544</t>
  </si>
  <si>
    <t>28641087</t>
  </si>
  <si>
    <t>28505006</t>
  </si>
  <si>
    <t>28511926</t>
  </si>
  <si>
    <t>28512516</t>
  </si>
  <si>
    <t>28512524</t>
  </si>
  <si>
    <t>28512549</t>
  </si>
  <si>
    <t>29122963</t>
  </si>
  <si>
    <t>29123347</t>
  </si>
  <si>
    <t>29123735</t>
  </si>
  <si>
    <t>29124502</t>
  </si>
  <si>
    <t>29127048</t>
  </si>
  <si>
    <t>29127064</t>
  </si>
  <si>
    <t>28899756</t>
  </si>
  <si>
    <t>28905557</t>
  </si>
  <si>
    <t>28906151</t>
  </si>
  <si>
    <t>28907264</t>
  </si>
  <si>
    <t>29029693</t>
  </si>
  <si>
    <t>29032481</t>
  </si>
  <si>
    <t>28970081</t>
  </si>
  <si>
    <t>29285701</t>
  </si>
  <si>
    <t>28458981</t>
  </si>
  <si>
    <t>28458983</t>
  </si>
  <si>
    <t>28459036</t>
  </si>
  <si>
    <t>29335046</t>
  </si>
  <si>
    <t>29339490</t>
  </si>
  <si>
    <t>29344554</t>
  </si>
  <si>
    <t>29345695</t>
  </si>
  <si>
    <t>29347401</t>
  </si>
  <si>
    <t>29347421</t>
  </si>
  <si>
    <t>29355170</t>
  </si>
  <si>
    <t>29355183</t>
  </si>
  <si>
    <t>29355196</t>
  </si>
  <si>
    <t>29355207</t>
  </si>
  <si>
    <t>29355220</t>
  </si>
  <si>
    <t>29355232</t>
  </si>
  <si>
    <t>29355339</t>
  </si>
  <si>
    <t>29362191</t>
  </si>
  <si>
    <t>28644788</t>
  </si>
  <si>
    <t>28644802</t>
  </si>
  <si>
    <t>28644849</t>
  </si>
  <si>
    <t>28644867</t>
  </si>
  <si>
    <t>28644877</t>
  </si>
  <si>
    <t>28644885</t>
  </si>
  <si>
    <t>28644893</t>
  </si>
  <si>
    <t>28644901</t>
  </si>
  <si>
    <t>28644909</t>
  </si>
  <si>
    <t>28644919</t>
  </si>
  <si>
    <t>28644927</t>
  </si>
  <si>
    <t>28644935</t>
  </si>
  <si>
    <t>28644945</t>
  </si>
  <si>
    <t>28644965</t>
  </si>
  <si>
    <t>28601744</t>
  </si>
  <si>
    <t>28601746</t>
  </si>
  <si>
    <t>29435145</t>
  </si>
  <si>
    <t>29439723</t>
  </si>
  <si>
    <t>29443509</t>
  </si>
  <si>
    <t>29446909</t>
  </si>
  <si>
    <t>27970181</t>
  </si>
  <si>
    <t>28002865</t>
  </si>
  <si>
    <t>28006463</t>
  </si>
  <si>
    <t>28006954</t>
  </si>
  <si>
    <t>27990515</t>
  </si>
  <si>
    <t>28400944</t>
  </si>
  <si>
    <t>28707792</t>
  </si>
  <si>
    <t>28396352</t>
  </si>
  <si>
    <t>28331459</t>
  </si>
  <si>
    <t>27991899</t>
  </si>
  <si>
    <t>28002678</t>
  </si>
  <si>
    <t>28398544</t>
  </si>
  <si>
    <t>28399131</t>
  </si>
  <si>
    <t>28122444</t>
  </si>
  <si>
    <t>28352068</t>
  </si>
  <si>
    <t>28410753</t>
  </si>
  <si>
    <t>28411294</t>
  </si>
  <si>
    <t>28269921</t>
  </si>
  <si>
    <t>28057101</t>
  </si>
  <si>
    <t>29254016</t>
  </si>
  <si>
    <t>28055822</t>
  </si>
  <si>
    <t>27999042</t>
  </si>
  <si>
    <t>27999385</t>
  </si>
  <si>
    <t>28335455</t>
  </si>
  <si>
    <t>28338072</t>
  </si>
  <si>
    <t>28013991</t>
  </si>
  <si>
    <t>28017519</t>
  </si>
  <si>
    <t>28410023</t>
  </si>
  <si>
    <t>28260045</t>
  </si>
  <si>
    <t>29399271</t>
  </si>
  <si>
    <t>28010115</t>
  </si>
  <si>
    <t>27988776</t>
  </si>
  <si>
    <t>27988981</t>
  </si>
  <si>
    <t>27989106</t>
  </si>
  <si>
    <t>28406181</t>
  </si>
  <si>
    <t>28394664</t>
  </si>
  <si>
    <t>28401947</t>
  </si>
  <si>
    <t>28402246</t>
  </si>
  <si>
    <t>28402574</t>
  </si>
  <si>
    <t>28399612</t>
  </si>
  <si>
    <t>28413219</t>
  </si>
  <si>
    <t>28413523</t>
  </si>
  <si>
    <t>28413997</t>
  </si>
  <si>
    <t>28416021</t>
  </si>
  <si>
    <t>28416042</t>
  </si>
  <si>
    <t>28416192</t>
  </si>
  <si>
    <t>28285473</t>
  </si>
  <si>
    <t>28285486</t>
  </si>
  <si>
    <t>28285556</t>
  </si>
  <si>
    <t>28286759</t>
  </si>
  <si>
    <t>28286918</t>
  </si>
  <si>
    <t>28264484</t>
  </si>
  <si>
    <t>28264584</t>
  </si>
  <si>
    <t>28266325</t>
  </si>
  <si>
    <t>27985804</t>
  </si>
  <si>
    <t>28701681</t>
  </si>
  <si>
    <t>28230498</t>
  </si>
  <si>
    <t>28395389</t>
  </si>
  <si>
    <t>28395473</t>
  </si>
  <si>
    <t>28010968</t>
  </si>
  <si>
    <t>28012914</t>
  </si>
  <si>
    <t>28017796</t>
  </si>
  <si>
    <t>28010457</t>
  </si>
  <si>
    <t>28415993</t>
  </si>
  <si>
    <t>28416010</t>
  </si>
  <si>
    <t>27970203</t>
  </si>
  <si>
    <t>28417725</t>
  </si>
  <si>
    <t>28337202</t>
  </si>
  <si>
    <t>28337731</t>
  </si>
  <si>
    <t>28338850</t>
  </si>
  <si>
    <t>28339685</t>
  </si>
  <si>
    <t>28637734</t>
  </si>
  <si>
    <t>28637803</t>
  </si>
  <si>
    <t>28494788</t>
  </si>
  <si>
    <t>28149450</t>
  </si>
  <si>
    <t>28245035</t>
  </si>
  <si>
    <t>29482846</t>
  </si>
  <si>
    <t>29483279</t>
  </si>
  <si>
    <t>28636350</t>
  </si>
  <si>
    <t>28637246</t>
  </si>
  <si>
    <t>28637365</t>
  </si>
  <si>
    <t>28040204</t>
  </si>
  <si>
    <t>28040888</t>
  </si>
  <si>
    <t>28041551</t>
  </si>
  <si>
    <t>28604776</t>
  </si>
  <si>
    <t>28637942</t>
  </si>
  <si>
    <t>28538760</t>
  </si>
  <si>
    <t>28507180</t>
  </si>
  <si>
    <t>28326677</t>
  </si>
  <si>
    <t>28326704</t>
  </si>
  <si>
    <t>28327421</t>
  </si>
  <si>
    <t>28253280</t>
  </si>
  <si>
    <t>28376554</t>
  </si>
  <si>
    <t>28376557</t>
  </si>
  <si>
    <t>28376953</t>
  </si>
  <si>
    <t>28376956</t>
  </si>
  <si>
    <t>28233604</t>
  </si>
  <si>
    <t>28233607</t>
  </si>
  <si>
    <t>28233924</t>
  </si>
  <si>
    <t>28233927</t>
  </si>
  <si>
    <t>28033269</t>
  </si>
  <si>
    <t>28039589</t>
  </si>
  <si>
    <t>28644705</t>
  </si>
  <si>
    <t>28643189</t>
  </si>
  <si>
    <t>28309170</t>
  </si>
  <si>
    <t>28309732</t>
  </si>
  <si>
    <t>28309964</t>
  </si>
  <si>
    <t>28310142</t>
  </si>
  <si>
    <t>28310224</t>
  </si>
  <si>
    <t>28310238</t>
  </si>
  <si>
    <t>28376482</t>
  </si>
  <si>
    <t>28376508</t>
  </si>
  <si>
    <t>28376881</t>
  </si>
  <si>
    <t>28376907</t>
  </si>
  <si>
    <t>28233532</t>
  </si>
  <si>
    <t>28233558</t>
  </si>
  <si>
    <t>28233852</t>
  </si>
  <si>
    <t>28233878</t>
  </si>
  <si>
    <t>28602057</t>
  </si>
  <si>
    <t>28602100</t>
  </si>
  <si>
    <t>28602104</t>
  </si>
  <si>
    <t>28625043</t>
  </si>
  <si>
    <t>28625047</t>
  </si>
  <si>
    <t>28625051</t>
  </si>
  <si>
    <t>28625055</t>
  </si>
  <si>
    <t>28626484</t>
  </si>
  <si>
    <t>28466819</t>
  </si>
  <si>
    <t>28516829</t>
  </si>
  <si>
    <t>28516842</t>
  </si>
  <si>
    <t>28417961</t>
  </si>
  <si>
    <t>28418089</t>
  </si>
  <si>
    <t>28418097</t>
  </si>
  <si>
    <t>28418105</t>
  </si>
  <si>
    <t>28418113</t>
  </si>
  <si>
    <t>28478802</t>
  </si>
  <si>
    <t>28478812</t>
  </si>
  <si>
    <t>28478822</t>
  </si>
  <si>
    <t>28478832</t>
  </si>
  <si>
    <t>28478842</t>
  </si>
  <si>
    <t>28478852</t>
  </si>
  <si>
    <t>28449219</t>
  </si>
  <si>
    <t>28449243</t>
  </si>
  <si>
    <t>29260185</t>
  </si>
  <si>
    <t>28539046</t>
  </si>
  <si>
    <t>28539067</t>
  </si>
  <si>
    <t>28504957</t>
  </si>
  <si>
    <t>28504961</t>
  </si>
  <si>
    <t>28504965</t>
  </si>
  <si>
    <t>28504969</t>
  </si>
  <si>
    <t>29451762</t>
  </si>
  <si>
    <t>29451789</t>
  </si>
  <si>
    <t>29452054</t>
  </si>
  <si>
    <t>29452488</t>
  </si>
  <si>
    <t>28458919</t>
  </si>
  <si>
    <t>28458931</t>
  </si>
  <si>
    <t>28458935</t>
  </si>
  <si>
    <t>28458939</t>
  </si>
  <si>
    <t>28458943</t>
  </si>
  <si>
    <t>28459002</t>
  </si>
  <si>
    <t>28459006</t>
  </si>
  <si>
    <t>28459010</t>
  </si>
  <si>
    <t>28459014</t>
  </si>
  <si>
    <t>28459018</t>
  </si>
  <si>
    <t>28459045</t>
  </si>
  <si>
    <t>28459049</t>
  </si>
  <si>
    <t>28601712</t>
  </si>
  <si>
    <t>28601720</t>
  </si>
  <si>
    <t>28660150</t>
  </si>
  <si>
    <t>28660222</t>
  </si>
  <si>
    <t>28707899</t>
  </si>
  <si>
    <t>27980657</t>
  </si>
  <si>
    <t>27992281</t>
  </si>
  <si>
    <t>29373393</t>
  </si>
  <si>
    <t>29373546</t>
  </si>
  <si>
    <t>28417742</t>
  </si>
  <si>
    <t>28336468</t>
  </si>
  <si>
    <t>29023726</t>
  </si>
  <si>
    <t>29022196</t>
  </si>
  <si>
    <t>29479882</t>
  </si>
  <si>
    <t>28402986</t>
  </si>
  <si>
    <t>28898402</t>
  </si>
  <si>
    <t>28285493</t>
  </si>
  <si>
    <t>28286692</t>
  </si>
  <si>
    <t>28859087</t>
  </si>
  <si>
    <t>28395838</t>
  </si>
  <si>
    <t>28602061</t>
  </si>
  <si>
    <t>28602073</t>
  </si>
  <si>
    <t>28602083</t>
  </si>
  <si>
    <t>28637551</t>
  </si>
  <si>
    <t>28637799</t>
  </si>
  <si>
    <t>28488212</t>
  </si>
  <si>
    <t>28494330</t>
  </si>
  <si>
    <t>28494879</t>
  </si>
  <si>
    <t>28496429</t>
  </si>
  <si>
    <t>28496574</t>
  </si>
  <si>
    <t>28448572</t>
  </si>
  <si>
    <t>28376634</t>
  </si>
  <si>
    <t>28377033</t>
  </si>
  <si>
    <t>29482849</t>
  </si>
  <si>
    <t>29483282</t>
  </si>
  <si>
    <t>29483307</t>
  </si>
  <si>
    <t>28647711</t>
  </si>
  <si>
    <t>28647985</t>
  </si>
  <si>
    <t>28636729</t>
  </si>
  <si>
    <t>28637167</t>
  </si>
  <si>
    <t>28637361</t>
  </si>
  <si>
    <t>28040083</t>
  </si>
  <si>
    <t>28041481</t>
  </si>
  <si>
    <t>28044223</t>
  </si>
  <si>
    <t>28044235</t>
  </si>
  <si>
    <t>28935833</t>
  </si>
  <si>
    <t>28619663</t>
  </si>
  <si>
    <t>28620091</t>
  </si>
  <si>
    <t>28530333</t>
  </si>
  <si>
    <t>29409332</t>
  </si>
  <si>
    <t>29410257</t>
  </si>
  <si>
    <t>29479975</t>
  </si>
  <si>
    <t>29479979</t>
  </si>
  <si>
    <t>29480366</t>
  </si>
  <si>
    <t>29480443</t>
  </si>
  <si>
    <t>28637938</t>
  </si>
  <si>
    <t>28539770</t>
  </si>
  <si>
    <t>28506908</t>
  </si>
  <si>
    <t>28507183</t>
  </si>
  <si>
    <t>28233690</t>
  </si>
  <si>
    <t>28234010</t>
  </si>
  <si>
    <t>28655057</t>
  </si>
  <si>
    <t>28253893</t>
  </si>
  <si>
    <t>28686698</t>
  </si>
  <si>
    <t>29409001</t>
  </si>
  <si>
    <t>28376475</t>
  </si>
  <si>
    <t>28376480</t>
  </si>
  <si>
    <t>28376485</t>
  </si>
  <si>
    <t>28376497</t>
  </si>
  <si>
    <t>28376519</t>
  </si>
  <si>
    <t>28376529</t>
  </si>
  <si>
    <t>28376539</t>
  </si>
  <si>
    <t>28376874</t>
  </si>
  <si>
    <t>28376879</t>
  </si>
  <si>
    <t>28376884</t>
  </si>
  <si>
    <t>28376896</t>
  </si>
  <si>
    <t>28376918</t>
  </si>
  <si>
    <t>28376928</t>
  </si>
  <si>
    <t>28376938</t>
  </si>
  <si>
    <t>29483400</t>
  </si>
  <si>
    <t>28233525</t>
  </si>
  <si>
    <t>28233530</t>
  </si>
  <si>
    <t>28233535</t>
  </si>
  <si>
    <t>28233547</t>
  </si>
  <si>
    <t>28233569</t>
  </si>
  <si>
    <t>28233579</t>
  </si>
  <si>
    <t>28233589</t>
  </si>
  <si>
    <t>28233845</t>
  </si>
  <si>
    <t>28233850</t>
  </si>
  <si>
    <t>28233855</t>
  </si>
  <si>
    <t>28233867</t>
  </si>
  <si>
    <t>28233889</t>
  </si>
  <si>
    <t>28233899</t>
  </si>
  <si>
    <t>28233909</t>
  </si>
  <si>
    <t>28643429</t>
  </si>
  <si>
    <t>28642053</t>
  </si>
  <si>
    <t>28003133</t>
  </si>
  <si>
    <t>28007332</t>
  </si>
  <si>
    <t>27973596</t>
  </si>
  <si>
    <t>27973598</t>
  </si>
  <si>
    <t>27973602</t>
  </si>
  <si>
    <t>27977415</t>
  </si>
  <si>
    <t>27977550</t>
  </si>
  <si>
    <t>27978777</t>
  </si>
  <si>
    <t>27979158</t>
  </si>
  <si>
    <t>27979296</t>
  </si>
  <si>
    <t>27938943</t>
  </si>
  <si>
    <t>27939538</t>
  </si>
  <si>
    <t>27939623</t>
  </si>
  <si>
    <t>27939874</t>
  </si>
  <si>
    <t>27939876</t>
  </si>
  <si>
    <t>27939880</t>
  </si>
  <si>
    <t>28000387</t>
  </si>
  <si>
    <t>28001917</t>
  </si>
  <si>
    <t>28410765</t>
  </si>
  <si>
    <t>28411286</t>
  </si>
  <si>
    <t>28056685</t>
  </si>
  <si>
    <t>28057097</t>
  </si>
  <si>
    <t>28877686</t>
  </si>
  <si>
    <t>28877698</t>
  </si>
  <si>
    <t>28012484</t>
  </si>
  <si>
    <t>28013323</t>
  </si>
  <si>
    <t>28013595</t>
  </si>
  <si>
    <t>28014222</t>
  </si>
  <si>
    <t>27987844</t>
  </si>
  <si>
    <t>27988399</t>
  </si>
  <si>
    <t>29379640</t>
  </si>
  <si>
    <t>29379823</t>
  </si>
  <si>
    <t>28413584</t>
  </si>
  <si>
    <t>28416002</t>
  </si>
  <si>
    <t>28416028</t>
  </si>
  <si>
    <t>28416034</t>
  </si>
  <si>
    <t>28416049</t>
  </si>
  <si>
    <t>28416199</t>
  </si>
  <si>
    <t>28285451</t>
  </si>
  <si>
    <t>28285453</t>
  </si>
  <si>
    <t>28285457</t>
  </si>
  <si>
    <t>28285461</t>
  </si>
  <si>
    <t>28285463</t>
  </si>
  <si>
    <t>28285465</t>
  </si>
  <si>
    <t>28286635</t>
  </si>
  <si>
    <t>28286637</t>
  </si>
  <si>
    <t>28286641</t>
  </si>
  <si>
    <t>28286654</t>
  </si>
  <si>
    <t>28286660</t>
  </si>
  <si>
    <t>28286666</t>
  </si>
  <si>
    <t>28286678</t>
  </si>
  <si>
    <t>28286684</t>
  </si>
  <si>
    <t>28859313</t>
  </si>
  <si>
    <t>28136176</t>
  </si>
  <si>
    <t>28136640</t>
  </si>
  <si>
    <t>28111624</t>
  </si>
  <si>
    <t>28303692</t>
  </si>
  <si>
    <t>28457003</t>
  </si>
  <si>
    <t>28250427</t>
  </si>
  <si>
    <t>28656038</t>
  </si>
  <si>
    <t>28136172</t>
  </si>
  <si>
    <t>28136634</t>
  </si>
  <si>
    <t>28137531</t>
  </si>
  <si>
    <t>28137695</t>
  </si>
  <si>
    <t>28137749</t>
  </si>
  <si>
    <t>28138413</t>
  </si>
  <si>
    <t>28141075</t>
  </si>
  <si>
    <t>28117122</t>
  </si>
  <si>
    <t>28132589</t>
  </si>
  <si>
    <t>28135088</t>
  </si>
  <si>
    <t>28135143</t>
  </si>
  <si>
    <t>28135355</t>
  </si>
  <si>
    <t>28305978</t>
  </si>
  <si>
    <t>28306072</t>
  </si>
  <si>
    <t>28148997</t>
  </si>
  <si>
    <t>28149052</t>
  </si>
  <si>
    <t>28149273</t>
  </si>
  <si>
    <t>28149328</t>
  </si>
  <si>
    <t>28111622</t>
  </si>
  <si>
    <t>29483134</t>
  </si>
  <si>
    <t>29483140</t>
  </si>
  <si>
    <t>28636783</t>
  </si>
  <si>
    <t>28636823</t>
  </si>
  <si>
    <t>29483735</t>
  </si>
  <si>
    <t>28498172</t>
  </si>
  <si>
    <t>28498218</t>
  </si>
  <si>
    <t>28538552</t>
  </si>
  <si>
    <t>28303138</t>
  </si>
  <si>
    <t>28303141</t>
  </si>
  <si>
    <t>28456998</t>
  </si>
  <si>
    <t>28456999</t>
  </si>
  <si>
    <t>28457001</t>
  </si>
  <si>
    <t>28457002</t>
  </si>
  <si>
    <t>28250426</t>
  </si>
  <si>
    <t>28252414</t>
  </si>
  <si>
    <t>28306965</t>
  </si>
  <si>
    <t>28307043</t>
  </si>
  <si>
    <t>28307552</t>
  </si>
  <si>
    <t>28307606</t>
  </si>
  <si>
    <t>28307684</t>
  </si>
  <si>
    <t>28307722</t>
  </si>
  <si>
    <t>28308116</t>
  </si>
  <si>
    <t>28308171</t>
  </si>
  <si>
    <t>28002851</t>
  </si>
  <si>
    <t>28002859</t>
  </si>
  <si>
    <t>28002870</t>
  </si>
  <si>
    <t>28003136</t>
  </si>
  <si>
    <t>28006457</t>
  </si>
  <si>
    <t>28006461</t>
  </si>
  <si>
    <t>28006468</t>
  </si>
  <si>
    <t>28006952</t>
  </si>
  <si>
    <t>28006959</t>
  </si>
  <si>
    <t>28007541</t>
  </si>
  <si>
    <t>28645083</t>
  </si>
  <si>
    <t>28645113</t>
  </si>
  <si>
    <t>28844917</t>
  </si>
  <si>
    <t>28602120</t>
  </si>
  <si>
    <t>28602122</t>
  </si>
  <si>
    <t>28602124</t>
  </si>
  <si>
    <t>28602134</t>
  </si>
  <si>
    <t>28863403</t>
  </si>
  <si>
    <t>28863459</t>
  </si>
  <si>
    <t>28848901</t>
  </si>
  <si>
    <t>28625035</t>
  </si>
  <si>
    <t>28625037</t>
  </si>
  <si>
    <t>28625039</t>
  </si>
  <si>
    <t>28625041</t>
  </si>
  <si>
    <t>28625059</t>
  </si>
  <si>
    <t>28625061</t>
  </si>
  <si>
    <t>28625063</t>
  </si>
  <si>
    <t>28625088</t>
  </si>
  <si>
    <t>28626471</t>
  </si>
  <si>
    <t>28626473</t>
  </si>
  <si>
    <t>29375483</t>
  </si>
  <si>
    <t>28186253</t>
  </si>
  <si>
    <t>27990520</t>
  </si>
  <si>
    <t>28401211</t>
  </si>
  <si>
    <t>28401228</t>
  </si>
  <si>
    <t>28401260</t>
  </si>
  <si>
    <t>28707786</t>
  </si>
  <si>
    <t>28707788</t>
  </si>
  <si>
    <t>28707797</t>
  </si>
  <si>
    <t>28707799</t>
  </si>
  <si>
    <t>28707911</t>
  </si>
  <si>
    <t>27973594</t>
  </si>
  <si>
    <t>27973600</t>
  </si>
  <si>
    <t>27973604</t>
  </si>
  <si>
    <t>27975816</t>
  </si>
  <si>
    <t>27977419</t>
  </si>
  <si>
    <t>27977522</t>
  </si>
  <si>
    <t>27978779</t>
  </si>
  <si>
    <t>27978949</t>
  </si>
  <si>
    <t>27978993</t>
  </si>
  <si>
    <t>27979161</t>
  </si>
  <si>
    <t>27979233</t>
  </si>
  <si>
    <t>27979612</t>
  </si>
  <si>
    <t>27980676</t>
  </si>
  <si>
    <t>27981702</t>
  </si>
  <si>
    <t>27981705</t>
  </si>
  <si>
    <t>27983758</t>
  </si>
  <si>
    <t>27983761</t>
  </si>
  <si>
    <t>28865528</t>
  </si>
  <si>
    <t>28865702</t>
  </si>
  <si>
    <t>28865850</t>
  </si>
  <si>
    <t>28396358</t>
  </si>
  <si>
    <t>27970185</t>
  </si>
  <si>
    <t>27970196</t>
  </si>
  <si>
    <t>27970646</t>
  </si>
  <si>
    <t>27938784</t>
  </si>
  <si>
    <t>27939542</t>
  </si>
  <si>
    <t>27939626</t>
  </si>
  <si>
    <t>27993150</t>
  </si>
  <si>
    <t>27993160</t>
  </si>
  <si>
    <t>28000402</t>
  </si>
  <si>
    <t>28001911</t>
  </si>
  <si>
    <t>28001919</t>
  </si>
  <si>
    <t>28002684</t>
  </si>
  <si>
    <t>28466762</t>
  </si>
  <si>
    <t>28466764</t>
  </si>
  <si>
    <t>28398550</t>
  </si>
  <si>
    <t>28399012</t>
  </si>
  <si>
    <t>28399084</t>
  </si>
  <si>
    <t>28399137</t>
  </si>
  <si>
    <t>28115633</t>
  </si>
  <si>
    <t>28115837</t>
  </si>
  <si>
    <t>28115876</t>
  </si>
  <si>
    <t>28122450</t>
  </si>
  <si>
    <t>29102188</t>
  </si>
  <si>
    <t>29102205</t>
  </si>
  <si>
    <t>29102220</t>
  </si>
  <si>
    <t>29102235</t>
  </si>
  <si>
    <t>29102250</t>
  </si>
  <si>
    <t>29102265</t>
  </si>
  <si>
    <t>29102280</t>
  </si>
  <si>
    <t>28351235</t>
  </si>
  <si>
    <t>28352074</t>
  </si>
  <si>
    <t>28108923</t>
  </si>
  <si>
    <t>28684886</t>
  </si>
  <si>
    <t>28685077</t>
  </si>
  <si>
    <t>28685742</t>
  </si>
  <si>
    <t>28685764</t>
  </si>
  <si>
    <t>28685786</t>
  </si>
  <si>
    <t>28685808</t>
  </si>
  <si>
    <t>28410758</t>
  </si>
  <si>
    <t>28410760</t>
  </si>
  <si>
    <t>28410762</t>
  </si>
  <si>
    <t>28410768</t>
  </si>
  <si>
    <t>28411043</t>
  </si>
  <si>
    <t>28411079</t>
  </si>
  <si>
    <t>28411129</t>
  </si>
  <si>
    <t>28411177</t>
  </si>
  <si>
    <t>28411280</t>
  </si>
  <si>
    <t>28411284</t>
  </si>
  <si>
    <t>28411288</t>
  </si>
  <si>
    <t>28411299</t>
  </si>
  <si>
    <t>28411866</t>
  </si>
  <si>
    <t>28411870</t>
  </si>
  <si>
    <t>28412122</t>
  </si>
  <si>
    <t>28412126</t>
  </si>
  <si>
    <t>28417540</t>
  </si>
  <si>
    <t>28417715</t>
  </si>
  <si>
    <t>28417719</t>
  </si>
  <si>
    <t>28417726</t>
  </si>
  <si>
    <t>28417743</t>
  </si>
  <si>
    <t>28281418</t>
  </si>
  <si>
    <t>28281503</t>
  </si>
  <si>
    <t>28281537</t>
  </si>
  <si>
    <t>28281563</t>
  </si>
  <si>
    <t>28281589</t>
  </si>
  <si>
    <t>28282010</t>
  </si>
  <si>
    <t>28282174</t>
  </si>
  <si>
    <t>28282582</t>
  </si>
  <si>
    <t>29118559</t>
  </si>
  <si>
    <t>29118610</t>
  </si>
  <si>
    <t>28843084</t>
  </si>
  <si>
    <t>28843172</t>
  </si>
  <si>
    <t>28844135</t>
  </si>
  <si>
    <t>28844147</t>
  </si>
  <si>
    <t>29118983</t>
  </si>
  <si>
    <t>28269734</t>
  </si>
  <si>
    <t>28269927</t>
  </si>
  <si>
    <t>28846497</t>
  </si>
  <si>
    <t>28846620</t>
  </si>
  <si>
    <t>28840398</t>
  </si>
  <si>
    <t>28516793</t>
  </si>
  <si>
    <t>28516798</t>
  </si>
  <si>
    <t>28516810</t>
  </si>
  <si>
    <t>28516815</t>
  </si>
  <si>
    <t>28527218</t>
  </si>
  <si>
    <t>28527893</t>
  </si>
  <si>
    <t>28527901</t>
  </si>
  <si>
    <t>28527940</t>
  </si>
  <si>
    <t>28528030</t>
  </si>
  <si>
    <t>28528097</t>
  </si>
  <si>
    <t>28528201</t>
  </si>
  <si>
    <t>28528443</t>
  </si>
  <si>
    <t>28489264</t>
  </si>
  <si>
    <t>28489387</t>
  </si>
  <si>
    <t>28489843</t>
  </si>
  <si>
    <t>28489914</t>
  </si>
  <si>
    <t>28490068</t>
  </si>
  <si>
    <t>28490120</t>
  </si>
  <si>
    <t>28490143</t>
  </si>
  <si>
    <t>28490180</t>
  </si>
  <si>
    <t>28490202</t>
  </si>
  <si>
    <t>28490294</t>
  </si>
  <si>
    <t>28490360</t>
  </si>
  <si>
    <t>28490698</t>
  </si>
  <si>
    <t>29005507</t>
  </si>
  <si>
    <t>29005992</t>
  </si>
  <si>
    <t>29006108</t>
  </si>
  <si>
    <t>28056687</t>
  </si>
  <si>
    <t>28057085</t>
  </si>
  <si>
    <t>28057093</t>
  </si>
  <si>
    <t>28057099</t>
  </si>
  <si>
    <t>28057106</t>
  </si>
  <si>
    <t>29253835</t>
  </si>
  <si>
    <t>29254022</t>
  </si>
  <si>
    <t>28939992</t>
  </si>
  <si>
    <t>28055830</t>
  </si>
  <si>
    <t>28881421</t>
  </si>
  <si>
    <t>27996439</t>
  </si>
  <si>
    <t>27997130</t>
  </si>
  <si>
    <t>27997143</t>
  </si>
  <si>
    <t>27999359</t>
  </si>
  <si>
    <t>27999365</t>
  </si>
  <si>
    <t>27999377</t>
  </si>
  <si>
    <t>28000207</t>
  </si>
  <si>
    <t>28336011</t>
  </si>
  <si>
    <t>28336045</t>
  </si>
  <si>
    <t>28336120</t>
  </si>
  <si>
    <t>28336140</t>
  </si>
  <si>
    <t>28336479</t>
  </si>
  <si>
    <t>28336493</t>
  </si>
  <si>
    <t>28336509</t>
  </si>
  <si>
    <t>28337208</t>
  </si>
  <si>
    <t>28337733</t>
  </si>
  <si>
    <t>28337924</t>
  </si>
  <si>
    <t>28687170</t>
  </si>
  <si>
    <t>28687437</t>
  </si>
  <si>
    <t>28687751</t>
  </si>
  <si>
    <t>28687775</t>
  </si>
  <si>
    <t>28687783</t>
  </si>
  <si>
    <t>28953071</t>
  </si>
  <si>
    <t>28953603</t>
  </si>
  <si>
    <t>28893368</t>
  </si>
  <si>
    <t>28893539</t>
  </si>
  <si>
    <t>28314842</t>
  </si>
  <si>
    <t>28877688</t>
  </si>
  <si>
    <t>28877694</t>
  </si>
  <si>
    <t>28877696</t>
  </si>
  <si>
    <t>28877701</t>
  </si>
  <si>
    <t>28132376</t>
  </si>
  <si>
    <t>28417951</t>
  </si>
  <si>
    <t>28417999</t>
  </si>
  <si>
    <t>28418010</t>
  </si>
  <si>
    <t>28418021</t>
  </si>
  <si>
    <t>28418032</t>
  </si>
  <si>
    <t>28851213</t>
  </si>
  <si>
    <t>28852063</t>
  </si>
  <si>
    <t>28686382</t>
  </si>
  <si>
    <t>28686443</t>
  </si>
  <si>
    <t>28686494</t>
  </si>
  <si>
    <t>28686516</t>
  </si>
  <si>
    <t>28010959</t>
  </si>
  <si>
    <t>28011726</t>
  </si>
  <si>
    <t>28012543</t>
  </si>
  <si>
    <t>28012912</t>
  </si>
  <si>
    <t>28012919</t>
  </si>
  <si>
    <t>28013325</t>
  </si>
  <si>
    <t>28013329</t>
  </si>
  <si>
    <t>28013750</t>
  </si>
  <si>
    <t>28013767</t>
  </si>
  <si>
    <t>28013997</t>
  </si>
  <si>
    <t>28014247</t>
  </si>
  <si>
    <t>28016046</t>
  </si>
  <si>
    <t>28017157</t>
  </si>
  <si>
    <t>28017517</t>
  </si>
  <si>
    <t>28017524</t>
  </si>
  <si>
    <t>28017586</t>
  </si>
  <si>
    <t>28017805</t>
  </si>
  <si>
    <t>28017995</t>
  </si>
  <si>
    <t>28855330</t>
  </si>
  <si>
    <t>28855739</t>
  </si>
  <si>
    <t>28888556</t>
  </si>
  <si>
    <t>28888618</t>
  </si>
  <si>
    <t>28888628</t>
  </si>
  <si>
    <t>28835841</t>
  </si>
  <si>
    <t>28837020</t>
  </si>
  <si>
    <t>28837080</t>
  </si>
  <si>
    <t>28478568</t>
  </si>
  <si>
    <t>28478585</t>
  </si>
  <si>
    <t>28478598</t>
  </si>
  <si>
    <t>28478615</t>
  </si>
  <si>
    <t>28478630</t>
  </si>
  <si>
    <t>28478710</t>
  </si>
  <si>
    <t>28487279</t>
  </si>
  <si>
    <t>28487296</t>
  </si>
  <si>
    <t>28487511</t>
  </si>
  <si>
    <t>28487527</t>
  </si>
  <si>
    <t>28338454</t>
  </si>
  <si>
    <t>28338548</t>
  </si>
  <si>
    <t>28338852</t>
  </si>
  <si>
    <t>28339376</t>
  </si>
  <si>
    <t>28339432</t>
  </si>
  <si>
    <t>28339454</t>
  </si>
  <si>
    <t>28339687</t>
  </si>
  <si>
    <t>28450949</t>
  </si>
  <si>
    <t>28451005</t>
  </si>
  <si>
    <t>28451064</t>
  </si>
  <si>
    <t>28451322</t>
  </si>
  <si>
    <t>28451350</t>
  </si>
  <si>
    <t>28451372</t>
  </si>
  <si>
    <t>28451396</t>
  </si>
  <si>
    <t>28451418</t>
  </si>
  <si>
    <t>29303072</t>
  </si>
  <si>
    <t>29303080</t>
  </si>
  <si>
    <t>29304504</t>
  </si>
  <si>
    <t>29311974</t>
  </si>
  <si>
    <t>28409727</t>
  </si>
  <si>
    <t>28410017</t>
  </si>
  <si>
    <t>28410021</t>
  </si>
  <si>
    <t>28410028</t>
  </si>
  <si>
    <t>28410061</t>
  </si>
  <si>
    <t>28410123</t>
  </si>
  <si>
    <t>28410149</t>
  </si>
  <si>
    <t>28410384</t>
  </si>
  <si>
    <t>28410517</t>
  </si>
  <si>
    <t>28891544</t>
  </si>
  <si>
    <t>28891728</t>
  </si>
  <si>
    <t>28891908</t>
  </si>
  <si>
    <t>28892266</t>
  </si>
  <si>
    <t>28688028</t>
  </si>
  <si>
    <t>28688032</t>
  </si>
  <si>
    <t>28688036</t>
  </si>
  <si>
    <t>28688040</t>
  </si>
  <si>
    <t>28688044</t>
  </si>
  <si>
    <t>28688048</t>
  </si>
  <si>
    <t>28260051</t>
  </si>
  <si>
    <t>29377442</t>
  </si>
  <si>
    <t>29377458</t>
  </si>
  <si>
    <t>29022221</t>
  </si>
  <si>
    <t>28896907</t>
  </si>
  <si>
    <t>28896954</t>
  </si>
  <si>
    <t>29139621</t>
  </si>
  <si>
    <t>29152584</t>
  </si>
  <si>
    <t>28868655</t>
  </si>
  <si>
    <t>28871534</t>
  </si>
  <si>
    <t>28871536</t>
  </si>
  <si>
    <t>29479866</t>
  </si>
  <si>
    <t>29479883</t>
  </si>
  <si>
    <t>28861577</t>
  </si>
  <si>
    <t>29399277</t>
  </si>
  <si>
    <t>29401606</t>
  </si>
  <si>
    <t>29401950</t>
  </si>
  <si>
    <t>28054154</t>
  </si>
  <si>
    <t>28054585</t>
  </si>
  <si>
    <t>28009650</t>
  </si>
  <si>
    <t>28009732</t>
  </si>
  <si>
    <t>28009755</t>
  </si>
  <si>
    <t>28010131</t>
  </si>
  <si>
    <t>28010489</t>
  </si>
  <si>
    <t>27987450</t>
  </si>
  <si>
    <t>27987458</t>
  </si>
  <si>
    <t>27988433</t>
  </si>
  <si>
    <t>27988764</t>
  </si>
  <si>
    <t>27988772</t>
  </si>
  <si>
    <t>27988781</t>
  </si>
  <si>
    <t>27988973</t>
  </si>
  <si>
    <t>27988979</t>
  </si>
  <si>
    <t>27988986</t>
  </si>
  <si>
    <t>27989072</t>
  </si>
  <si>
    <t>27989080</t>
  </si>
  <si>
    <t>27989090</t>
  </si>
  <si>
    <t>27989111</t>
  </si>
  <si>
    <t>28912049</t>
  </si>
  <si>
    <t>28912078</t>
  </si>
  <si>
    <t>28912092</t>
  </si>
  <si>
    <t>28912099</t>
  </si>
  <si>
    <t>29412175</t>
  </si>
  <si>
    <t>29412203</t>
  </si>
  <si>
    <t>29412263</t>
  </si>
  <si>
    <t>28878440</t>
  </si>
  <si>
    <t>28878677</t>
  </si>
  <si>
    <t>28404257</t>
  </si>
  <si>
    <t>28405851</t>
  </si>
  <si>
    <t>28405879</t>
  </si>
  <si>
    <t>28405980</t>
  </si>
  <si>
    <t>28406018</t>
  </si>
  <si>
    <t>28406110</t>
  </si>
  <si>
    <t>28406114</t>
  </si>
  <si>
    <t>28406154</t>
  </si>
  <si>
    <t>28406177</t>
  </si>
  <si>
    <t>28406186</t>
  </si>
  <si>
    <t>28406193</t>
  </si>
  <si>
    <t>28406325</t>
  </si>
  <si>
    <t>28406487</t>
  </si>
  <si>
    <t>28406489</t>
  </si>
  <si>
    <t>28407249</t>
  </si>
  <si>
    <t>28407326</t>
  </si>
  <si>
    <t>28610721</t>
  </si>
  <si>
    <t>28394670</t>
  </si>
  <si>
    <t>29260173</t>
  </si>
  <si>
    <t>28401939</t>
  </si>
  <si>
    <t>28401945</t>
  </si>
  <si>
    <t>28401952</t>
  </si>
  <si>
    <t>28401990</t>
  </si>
  <si>
    <t>28402238</t>
  </si>
  <si>
    <t>28402244</t>
  </si>
  <si>
    <t>28402251</t>
  </si>
  <si>
    <t>28402413</t>
  </si>
  <si>
    <t>28402432</t>
  </si>
  <si>
    <t>28402580</t>
  </si>
  <si>
    <t>28402728</t>
  </si>
  <si>
    <t>28402841</t>
  </si>
  <si>
    <t>28402941</t>
  </si>
  <si>
    <t>28402987</t>
  </si>
  <si>
    <t>28403100</t>
  </si>
  <si>
    <t>28399236</t>
  </si>
  <si>
    <t>28399255</t>
  </si>
  <si>
    <t>28399618</t>
  </si>
  <si>
    <t>29127176</t>
  </si>
  <si>
    <t>29127558</t>
  </si>
  <si>
    <t>29128704</t>
  </si>
  <si>
    <t>29137443</t>
  </si>
  <si>
    <t>29411545</t>
  </si>
  <si>
    <t>29411594</t>
  </si>
  <si>
    <t>29411693</t>
  </si>
  <si>
    <t>29411781</t>
  </si>
  <si>
    <t>29411894</t>
  </si>
  <si>
    <t>28688566</t>
  </si>
  <si>
    <t>28688584</t>
  </si>
  <si>
    <t>28688600</t>
  </si>
  <si>
    <t>28688967</t>
  </si>
  <si>
    <t>28689072</t>
  </si>
  <si>
    <t>28898413</t>
  </si>
  <si>
    <t>28165098</t>
  </si>
  <si>
    <t>28165157</t>
  </si>
  <si>
    <t>28165230</t>
  </si>
  <si>
    <t>28538987</t>
  </si>
  <si>
    <t>28538989</t>
  </si>
  <si>
    <t>28539003</t>
  </si>
  <si>
    <t>28539005</t>
  </si>
  <si>
    <t>28894931</t>
  </si>
  <si>
    <t>28504949</t>
  </si>
  <si>
    <t>28504951</t>
  </si>
  <si>
    <t>28504953</t>
  </si>
  <si>
    <t>28504955</t>
  </si>
  <si>
    <t>28508587</t>
  </si>
  <si>
    <t>29452078</t>
  </si>
  <si>
    <t>29125230</t>
  </si>
  <si>
    <t>28842310</t>
  </si>
  <si>
    <t>28842322</t>
  </si>
  <si>
    <t>28842746</t>
  </si>
  <si>
    <t>28842824</t>
  </si>
  <si>
    <t>28276151</t>
  </si>
  <si>
    <t>29379772</t>
  </si>
  <si>
    <t>29379834</t>
  </si>
  <si>
    <t>29379844</t>
  </si>
  <si>
    <t>28413224</t>
  </si>
  <si>
    <t>28413228</t>
  </si>
  <si>
    <t>28413440</t>
  </si>
  <si>
    <t>28413519</t>
  </si>
  <si>
    <t>28413528</t>
  </si>
  <si>
    <t>28413585</t>
  </si>
  <si>
    <t>28413839</t>
  </si>
  <si>
    <t>28413988</t>
  </si>
  <si>
    <t>28413994</t>
  </si>
  <si>
    <t>28414002</t>
  </si>
  <si>
    <t>28414382</t>
  </si>
  <si>
    <t>28415991</t>
  </si>
  <si>
    <t>28416000</t>
  </si>
  <si>
    <t>28416004</t>
  </si>
  <si>
    <t>28416008</t>
  </si>
  <si>
    <t>28416015</t>
  </si>
  <si>
    <t>28416026</t>
  </si>
  <si>
    <t>28416032</t>
  </si>
  <si>
    <t>28416036</t>
  </si>
  <si>
    <t>28416038</t>
  </si>
  <si>
    <t>28416047</t>
  </si>
  <si>
    <t>28416051</t>
  </si>
  <si>
    <t>28416094</t>
  </si>
  <si>
    <t>28416098</t>
  </si>
  <si>
    <t>28416100</t>
  </si>
  <si>
    <t>28416104</t>
  </si>
  <si>
    <t>28416188</t>
  </si>
  <si>
    <t>28416197</t>
  </si>
  <si>
    <t>28416200</t>
  </si>
  <si>
    <t>28416209</t>
  </si>
  <si>
    <t>28416259</t>
  </si>
  <si>
    <t>28020194</t>
  </si>
  <si>
    <t>28020396</t>
  </si>
  <si>
    <t>29028954</t>
  </si>
  <si>
    <t>29279365</t>
  </si>
  <si>
    <t>29286810</t>
  </si>
  <si>
    <t>28283579</t>
  </si>
  <si>
    <t>28283589</t>
  </si>
  <si>
    <t>28285449</t>
  </si>
  <si>
    <t>28285455</t>
  </si>
  <si>
    <t>28285459</t>
  </si>
  <si>
    <t>28285512</t>
  </si>
  <si>
    <t>28285514</t>
  </si>
  <si>
    <t>28285554</t>
  </si>
  <si>
    <t>28285583</t>
  </si>
  <si>
    <t>28285585</t>
  </si>
  <si>
    <t>28285587</t>
  </si>
  <si>
    <t>28285589</t>
  </si>
  <si>
    <t>28285591</t>
  </si>
  <si>
    <t>28285599</t>
  </si>
  <si>
    <t>28285601</t>
  </si>
  <si>
    <t>28285619</t>
  </si>
  <si>
    <t>28285623</t>
  </si>
  <si>
    <t>28285625</t>
  </si>
  <si>
    <t>28286633</t>
  </si>
  <si>
    <t>28286639</t>
  </si>
  <si>
    <t>28286643</t>
  </si>
  <si>
    <t>28286645</t>
  </si>
  <si>
    <t>28286656</t>
  </si>
  <si>
    <t>28286658</t>
  </si>
  <si>
    <t>28286662</t>
  </si>
  <si>
    <t>28286668</t>
  </si>
  <si>
    <t>28286672</t>
  </si>
  <si>
    <t>28286674</t>
  </si>
  <si>
    <t>28286680</t>
  </si>
  <si>
    <t>28286682</t>
  </si>
  <si>
    <t>28286686</t>
  </si>
  <si>
    <t>28286690</t>
  </si>
  <si>
    <t>28286694</t>
  </si>
  <si>
    <t>28286704</t>
  </si>
  <si>
    <t>28286741</t>
  </si>
  <si>
    <t>28286749</t>
  </si>
  <si>
    <t>28286753</t>
  </si>
  <si>
    <t>28286764</t>
  </si>
  <si>
    <t>28286807</t>
  </si>
  <si>
    <t>28286923</t>
  </si>
  <si>
    <t>29365776</t>
  </si>
  <si>
    <t>29365788</t>
  </si>
  <si>
    <t>29365909</t>
  </si>
  <si>
    <t>29365922</t>
  </si>
  <si>
    <t>28891427</t>
  </si>
  <si>
    <t>28891437</t>
  </si>
  <si>
    <t>28458917</t>
  </si>
  <si>
    <t>28458923</t>
  </si>
  <si>
    <t>28458925</t>
  </si>
  <si>
    <t>28458927</t>
  </si>
  <si>
    <t>28458929</t>
  </si>
  <si>
    <t>28459053</t>
  </si>
  <si>
    <t>28459057</t>
  </si>
  <si>
    <t>28459059</t>
  </si>
  <si>
    <t>28459061</t>
  </si>
  <si>
    <t>28459063</t>
  </si>
  <si>
    <t>28459067</t>
  </si>
  <si>
    <t>28459069</t>
  </si>
  <si>
    <t>28459071</t>
  </si>
  <si>
    <t>28459073</t>
  </si>
  <si>
    <t>28459075</t>
  </si>
  <si>
    <t>28459077</t>
  </si>
  <si>
    <t>28459079</t>
  </si>
  <si>
    <t>28860571</t>
  </si>
  <si>
    <t>28860583</t>
  </si>
  <si>
    <t>28860777</t>
  </si>
  <si>
    <t>28861016</t>
  </si>
  <si>
    <t>29320785</t>
  </si>
  <si>
    <t>29320797</t>
  </si>
  <si>
    <t>29362972</t>
  </si>
  <si>
    <t>29363030</t>
  </si>
  <si>
    <t>28601439</t>
  </si>
  <si>
    <t>28601767</t>
  </si>
  <si>
    <t>28601769</t>
  </si>
  <si>
    <t>28601783</t>
  </si>
  <si>
    <t>28601785</t>
  </si>
  <si>
    <t>28601787</t>
  </si>
  <si>
    <t>28601789</t>
  </si>
  <si>
    <t>29313078</t>
  </si>
  <si>
    <t>28925812</t>
  </si>
  <si>
    <t>28876193</t>
  </si>
  <si>
    <t>28858229</t>
  </si>
  <si>
    <t>28858912</t>
  </si>
  <si>
    <t>28859433</t>
  </si>
  <si>
    <t>29299734</t>
  </si>
  <si>
    <t>29299905</t>
  </si>
  <si>
    <t>29300060</t>
  </si>
  <si>
    <t>29300062</t>
  </si>
  <si>
    <t>29300516</t>
  </si>
  <si>
    <t>29300518</t>
  </si>
  <si>
    <t>29301869</t>
  </si>
  <si>
    <t>28264490</t>
  </si>
  <si>
    <t>28264590</t>
  </si>
  <si>
    <t>28265242</t>
  </si>
  <si>
    <t>28265290</t>
  </si>
  <si>
    <t>28265505</t>
  </si>
  <si>
    <t>28265517</t>
  </si>
  <si>
    <t>28266331</t>
  </si>
  <si>
    <t>29005182</t>
  </si>
  <si>
    <t>29005196</t>
  </si>
  <si>
    <t>29227399</t>
  </si>
  <si>
    <t>27985470</t>
  </si>
  <si>
    <t>27985482</t>
  </si>
  <si>
    <t>27985810</t>
  </si>
  <si>
    <t>29315748</t>
  </si>
  <si>
    <t>28832871</t>
  </si>
  <si>
    <t>28833656</t>
  </si>
  <si>
    <t>28681642</t>
  </si>
  <si>
    <t>28682026</t>
  </si>
  <si>
    <t>28682146</t>
  </si>
  <si>
    <t>28682168</t>
  </si>
  <si>
    <t>28682190</t>
  </si>
  <si>
    <t>28682212</t>
  </si>
  <si>
    <t>28682234</t>
  </si>
  <si>
    <t>28682471</t>
  </si>
  <si>
    <t>28682493</t>
  </si>
  <si>
    <t>28682515</t>
  </si>
  <si>
    <t>28682542</t>
  </si>
  <si>
    <t>28682606</t>
  </si>
  <si>
    <t>28682628</t>
  </si>
  <si>
    <t>28682650</t>
  </si>
  <si>
    <t>28682697</t>
  </si>
  <si>
    <t>28682719</t>
  </si>
  <si>
    <t>28682741</t>
  </si>
  <si>
    <t>28682763</t>
  </si>
  <si>
    <t>28682790</t>
  </si>
  <si>
    <t>28682852</t>
  </si>
  <si>
    <t>28682924</t>
  </si>
  <si>
    <t>28682946</t>
  </si>
  <si>
    <t>28682968</t>
  </si>
  <si>
    <t>28683095</t>
  </si>
  <si>
    <t>28683205</t>
  </si>
  <si>
    <t>28683227</t>
  </si>
  <si>
    <t>28683249</t>
  </si>
  <si>
    <t>28683295</t>
  </si>
  <si>
    <t>28683375</t>
  </si>
  <si>
    <t>28683397</t>
  </si>
  <si>
    <t>28683434</t>
  </si>
  <si>
    <t>28684231</t>
  </si>
  <si>
    <t>28684283</t>
  </si>
  <si>
    <t>28684305</t>
  </si>
  <si>
    <t>28895280</t>
  </si>
  <si>
    <t>28895283</t>
  </si>
  <si>
    <t>28701687</t>
  </si>
  <si>
    <t>29363932</t>
  </si>
  <si>
    <t>29363944</t>
  </si>
  <si>
    <t>29364803</t>
  </si>
  <si>
    <t>29364849</t>
  </si>
  <si>
    <t>28229580</t>
  </si>
  <si>
    <t>28395395</t>
  </si>
  <si>
    <t>28395479</t>
  </si>
  <si>
    <t>28395742</t>
  </si>
  <si>
    <t>28395839</t>
  </si>
  <si>
    <t>29317577</t>
  </si>
  <si>
    <t>29317592</t>
  </si>
  <si>
    <t>29320651</t>
  </si>
  <si>
    <t>29320663</t>
  </si>
  <si>
    <t>28376617</t>
  </si>
  <si>
    <t>28376621</t>
  </si>
  <si>
    <t>28377016</t>
  </si>
  <si>
    <t>28377020</t>
  </si>
  <si>
    <t>28233667</t>
  </si>
  <si>
    <t>28233671</t>
  </si>
  <si>
    <t>28233987</t>
  </si>
  <si>
    <t>28233991</t>
  </si>
  <si>
    <t>28033270</t>
  </si>
  <si>
    <t>28686579</t>
  </si>
  <si>
    <t>28686600</t>
  </si>
  <si>
    <t>28686686</t>
  </si>
  <si>
    <t>28686699</t>
  </si>
  <si>
    <t>28686717</t>
  </si>
  <si>
    <t>28379285</t>
  </si>
  <si>
    <t>28305379</t>
  </si>
  <si>
    <t>29407851</t>
  </si>
  <si>
    <t>29408187</t>
  </si>
  <si>
    <t>29408198</t>
  </si>
  <si>
    <t>29408672</t>
  </si>
  <si>
    <t>29409002</t>
  </si>
  <si>
    <t>28238275</t>
  </si>
  <si>
    <t>28238296</t>
  </si>
  <si>
    <t>28238677</t>
  </si>
  <si>
    <t>28238956</t>
  </si>
  <si>
    <t>28688008</t>
  </si>
  <si>
    <t>28688012</t>
  </si>
  <si>
    <t>28688016</t>
  </si>
  <si>
    <t>28688020</t>
  </si>
  <si>
    <t>28688024</t>
  </si>
  <si>
    <t>28688052</t>
  </si>
  <si>
    <t>28688137</t>
  </si>
  <si>
    <t>28688141</t>
  </si>
  <si>
    <t>28688145</t>
  </si>
  <si>
    <t>28688149</t>
  </si>
  <si>
    <t>28688153</t>
  </si>
  <si>
    <t>28688157</t>
  </si>
  <si>
    <t>28688161</t>
  </si>
  <si>
    <t>28688165</t>
  </si>
  <si>
    <t>28688169</t>
  </si>
  <si>
    <t>28688173</t>
  </si>
  <si>
    <t>28688177</t>
  </si>
  <si>
    <t>28688189</t>
  </si>
  <si>
    <t>28688193</t>
  </si>
  <si>
    <t>28376478</t>
  </si>
  <si>
    <t>28376483</t>
  </si>
  <si>
    <t>28376486</t>
  </si>
  <si>
    <t>28376489</t>
  </si>
  <si>
    <t>28376491</t>
  </si>
  <si>
    <t>28376495</t>
  </si>
  <si>
    <t>28376498</t>
  </si>
  <si>
    <t>28376504</t>
  </si>
  <si>
    <t>28376506</t>
  </si>
  <si>
    <t>28376509</t>
  </si>
  <si>
    <t>28376513</t>
  </si>
  <si>
    <t>28376517</t>
  </si>
  <si>
    <t>28376520</t>
  </si>
  <si>
    <t>28376524</t>
  </si>
  <si>
    <t>28376527</t>
  </si>
  <si>
    <t>28376530</t>
  </si>
  <si>
    <t>28376533</t>
  </si>
  <si>
    <t>28376537</t>
  </si>
  <si>
    <t>28376542</t>
  </si>
  <si>
    <t>28376544</t>
  </si>
  <si>
    <t>28376546</t>
  </si>
  <si>
    <t>28376562</t>
  </si>
  <si>
    <t>28376566</t>
  </si>
  <si>
    <t>28376570</t>
  </si>
  <si>
    <t>28376574</t>
  </si>
  <si>
    <t>28376578</t>
  </si>
  <si>
    <t>28376582</t>
  </si>
  <si>
    <t>28376584</t>
  </si>
  <si>
    <t>28376586</t>
  </si>
  <si>
    <t>28376590</t>
  </si>
  <si>
    <t>28376607</t>
  </si>
  <si>
    <t>28376609</t>
  </si>
  <si>
    <t>28376611</t>
  </si>
  <si>
    <t>28376626</t>
  </si>
  <si>
    <t>28376638</t>
  </si>
  <si>
    <t>28376642</t>
  </si>
  <si>
    <t>28376877</t>
  </si>
  <si>
    <t>28376882</t>
  </si>
  <si>
    <t>28376885</t>
  </si>
  <si>
    <t>28376888</t>
  </si>
  <si>
    <t>28376890</t>
  </si>
  <si>
    <t>28376894</t>
  </si>
  <si>
    <t>28376897</t>
  </si>
  <si>
    <t>28376903</t>
  </si>
  <si>
    <t>28376905</t>
  </si>
  <si>
    <t>28376908</t>
  </si>
  <si>
    <t>28376912</t>
  </si>
  <si>
    <t>28376916</t>
  </si>
  <si>
    <t>28376919</t>
  </si>
  <si>
    <t>28376923</t>
  </si>
  <si>
    <t>28376926</t>
  </si>
  <si>
    <t>28376929</t>
  </si>
  <si>
    <t>28376932</t>
  </si>
  <si>
    <t>28376936</t>
  </si>
  <si>
    <t>28376941</t>
  </si>
  <si>
    <t>28376943</t>
  </si>
  <si>
    <t>28376945</t>
  </si>
  <si>
    <t>28376961</t>
  </si>
  <si>
    <t>28376965</t>
  </si>
  <si>
    <t>28376969</t>
  </si>
  <si>
    <t>28376973</t>
  </si>
  <si>
    <t>28376977</t>
  </si>
  <si>
    <t>28376981</t>
  </si>
  <si>
    <t>28376983</t>
  </si>
  <si>
    <t>28376985</t>
  </si>
  <si>
    <t>28376989</t>
  </si>
  <si>
    <t>28377006</t>
  </si>
  <si>
    <t>28377008</t>
  </si>
  <si>
    <t>28377010</t>
  </si>
  <si>
    <t>28377025</t>
  </si>
  <si>
    <t>28377037</t>
  </si>
  <si>
    <t>28377041</t>
  </si>
  <si>
    <t>28377741</t>
  </si>
  <si>
    <t>28377813</t>
  </si>
  <si>
    <t>28240518</t>
  </si>
  <si>
    <t>28243335</t>
  </si>
  <si>
    <t>28243606</t>
  </si>
  <si>
    <t>28243636</t>
  </si>
  <si>
    <t>28039025</t>
  </si>
  <si>
    <t>28039080</t>
  </si>
  <si>
    <t>28039162</t>
  </si>
  <si>
    <t>28039591</t>
  </si>
  <si>
    <t>28046918</t>
  </si>
  <si>
    <t>28047088</t>
  </si>
  <si>
    <t>29483424</t>
  </si>
  <si>
    <t>29483434</t>
  </si>
  <si>
    <t>29483448</t>
  </si>
  <si>
    <t>29483572</t>
  </si>
  <si>
    <t>29483573</t>
  </si>
  <si>
    <t>28557401</t>
  </si>
  <si>
    <t>28233528</t>
  </si>
  <si>
    <t>28233533</t>
  </si>
  <si>
    <t>28233536</t>
  </si>
  <si>
    <t>28233539</t>
  </si>
  <si>
    <t>28233541</t>
  </si>
  <si>
    <t>28233545</t>
  </si>
  <si>
    <t>28233548</t>
  </si>
  <si>
    <t>28233554</t>
  </si>
  <si>
    <t>28233556</t>
  </si>
  <si>
    <t>28233559</t>
  </si>
  <si>
    <t>28233563</t>
  </si>
  <si>
    <t>28233567</t>
  </si>
  <si>
    <t>28233570</t>
  </si>
  <si>
    <t>28233574</t>
  </si>
  <si>
    <t>28233577</t>
  </si>
  <si>
    <t>28233580</t>
  </si>
  <si>
    <t>28233583</t>
  </si>
  <si>
    <t>28233587</t>
  </si>
  <si>
    <t>28233592</t>
  </si>
  <si>
    <t>28233594</t>
  </si>
  <si>
    <t>28233596</t>
  </si>
  <si>
    <t>28233612</t>
  </si>
  <si>
    <t>28233616</t>
  </si>
  <si>
    <t>28233620</t>
  </si>
  <si>
    <t>28233624</t>
  </si>
  <si>
    <t>28233628</t>
  </si>
  <si>
    <t>28233632</t>
  </si>
  <si>
    <t>28233634</t>
  </si>
  <si>
    <t>28233636</t>
  </si>
  <si>
    <t>28233640</t>
  </si>
  <si>
    <t>28233657</t>
  </si>
  <si>
    <t>28233659</t>
  </si>
  <si>
    <t>28233661</t>
  </si>
  <si>
    <t>28233682</t>
  </si>
  <si>
    <t>28233694</t>
  </si>
  <si>
    <t>28233698</t>
  </si>
  <si>
    <t>28233848</t>
  </si>
  <si>
    <t>28233853</t>
  </si>
  <si>
    <t>28233856</t>
  </si>
  <si>
    <t>28233859</t>
  </si>
  <si>
    <t>28233861</t>
  </si>
  <si>
    <t>28233865</t>
  </si>
  <si>
    <t>28233868</t>
  </si>
  <si>
    <t>28233874</t>
  </si>
  <si>
    <t>28233876</t>
  </si>
  <si>
    <t>28233879</t>
  </si>
  <si>
    <t>28233883</t>
  </si>
  <si>
    <t>28233887</t>
  </si>
  <si>
    <t>28233890</t>
  </si>
  <si>
    <t>28233894</t>
  </si>
  <si>
    <t>28233897</t>
  </si>
  <si>
    <t>28233900</t>
  </si>
  <si>
    <t>28233903</t>
  </si>
  <si>
    <t>28233907</t>
  </si>
  <si>
    <t>28233912</t>
  </si>
  <si>
    <t>28233914</t>
  </si>
  <si>
    <t>28233916</t>
  </si>
  <si>
    <t>28233932</t>
  </si>
  <si>
    <t>28233936</t>
  </si>
  <si>
    <t>28233940</t>
  </si>
  <si>
    <t>28233944</t>
  </si>
  <si>
    <t>28233948</t>
  </si>
  <si>
    <t>28233952</t>
  </si>
  <si>
    <t>28233954</t>
  </si>
  <si>
    <t>28233956</t>
  </si>
  <si>
    <t>28233960</t>
  </si>
  <si>
    <t>28233977</t>
  </si>
  <si>
    <t>28233979</t>
  </si>
  <si>
    <t>28233981</t>
  </si>
  <si>
    <t>28234002</t>
  </si>
  <si>
    <t>28234014</t>
  </si>
  <si>
    <t>28234018</t>
  </si>
  <si>
    <t>28325234</t>
  </si>
  <si>
    <t>28641264</t>
  </si>
  <si>
    <t>28641307</t>
  </si>
  <si>
    <t>27956444</t>
  </si>
  <si>
    <t>27956679</t>
  </si>
  <si>
    <t>27956902</t>
  </si>
  <si>
    <t>27957110</t>
  </si>
  <si>
    <t>27957297</t>
  </si>
  <si>
    <t>27958107</t>
  </si>
  <si>
    <t>27959282</t>
  </si>
  <si>
    <t>27959938</t>
  </si>
  <si>
    <t>27960301</t>
  </si>
  <si>
    <t>27960927</t>
  </si>
  <si>
    <t>28457713</t>
  </si>
  <si>
    <t>28643489</t>
  </si>
  <si>
    <t>28643542</t>
  </si>
  <si>
    <t>28643661</t>
  </si>
  <si>
    <t>28643672</t>
  </si>
  <si>
    <t>28644072</t>
  </si>
  <si>
    <t>28644204</t>
  </si>
  <si>
    <t>28644230</t>
  </si>
  <si>
    <t>28644343</t>
  </si>
  <si>
    <t>28644656</t>
  </si>
  <si>
    <t>28644707</t>
  </si>
  <si>
    <t>28642312</t>
  </si>
  <si>
    <t>28642631</t>
  </si>
  <si>
    <t>28642643</t>
  </si>
  <si>
    <t>28642680</t>
  </si>
  <si>
    <t>28642762</t>
  </si>
  <si>
    <t>28643191</t>
  </si>
  <si>
    <t>28643259</t>
  </si>
  <si>
    <t>28643430</t>
  </si>
  <si>
    <t>28251926</t>
  </si>
  <si>
    <t>28251969</t>
  </si>
  <si>
    <t>27944686</t>
  </si>
  <si>
    <t>27944901</t>
  </si>
  <si>
    <t>27950713</t>
  </si>
  <si>
    <t>27950803</t>
  </si>
  <si>
    <t>27950986</t>
  </si>
  <si>
    <t>27951097</t>
  </si>
  <si>
    <t>27951756</t>
  </si>
  <si>
    <t>27951781</t>
  </si>
  <si>
    <t>28308735</t>
  </si>
  <si>
    <t>28308976</t>
  </si>
  <si>
    <t>28308995</t>
  </si>
  <si>
    <t>28309172</t>
  </si>
  <si>
    <t>28309734</t>
  </si>
  <si>
    <t>28309966</t>
  </si>
  <si>
    <t>28310041</t>
  </si>
  <si>
    <t>28310144</t>
  </si>
  <si>
    <t>28310226</t>
  </si>
  <si>
    <t>28310240</t>
  </si>
  <si>
    <t>28641982</t>
  </si>
  <si>
    <t>28641986</t>
  </si>
  <si>
    <t>28642045</t>
  </si>
  <si>
    <t>28642054</t>
  </si>
  <si>
    <t>28602045</t>
  </si>
  <si>
    <t>28602047</t>
  </si>
  <si>
    <t>28602051</t>
  </si>
  <si>
    <t>28602055</t>
  </si>
  <si>
    <t>28602058</t>
  </si>
  <si>
    <t>28602062</t>
  </si>
  <si>
    <t>28602074</t>
  </si>
  <si>
    <t>28602079</t>
  </si>
  <si>
    <t>28602084</t>
  </si>
  <si>
    <t>28602101</t>
  </si>
  <si>
    <t>28602110</t>
  </si>
  <si>
    <t>28602126</t>
  </si>
  <si>
    <t>28602132</t>
  </si>
  <si>
    <t>28603525</t>
  </si>
  <si>
    <t>28625025</t>
  </si>
  <si>
    <t>28625027</t>
  </si>
  <si>
    <t>28625029</t>
  </si>
  <si>
    <t>28625044</t>
  </si>
  <si>
    <t>28625048</t>
  </si>
  <si>
    <t>28625052</t>
  </si>
  <si>
    <t>28625056</t>
  </si>
  <si>
    <t>28625075</t>
  </si>
  <si>
    <t>28625077</t>
  </si>
  <si>
    <t>28626485</t>
  </si>
  <si>
    <t>28637479</t>
  </si>
  <si>
    <t>28637489</t>
  </si>
  <si>
    <t>28637499</t>
  </si>
  <si>
    <t>28637539</t>
  </si>
  <si>
    <t>28637552</t>
  </si>
  <si>
    <t>28637736</t>
  </si>
  <si>
    <t>28637787</t>
  </si>
  <si>
    <t>28637789</t>
  </si>
  <si>
    <t>28637793</t>
  </si>
  <si>
    <t>28637797</t>
  </si>
  <si>
    <t>28637800</t>
  </si>
  <si>
    <t>28637804</t>
  </si>
  <si>
    <t>28466784</t>
  </si>
  <si>
    <t>28466820</t>
  </si>
  <si>
    <t>28685337</t>
  </si>
  <si>
    <t>28685427</t>
  </si>
  <si>
    <t>28282928</t>
  </si>
  <si>
    <t>28282953</t>
  </si>
  <si>
    <t>28283013</t>
  </si>
  <si>
    <t>28283076</t>
  </si>
  <si>
    <t>28488213</t>
  </si>
  <si>
    <t>28516830</t>
  </si>
  <si>
    <t>28516843</t>
  </si>
  <si>
    <t>28032879</t>
  </si>
  <si>
    <t>28032907</t>
  </si>
  <si>
    <t>28032998</t>
  </si>
  <si>
    <t>28033771</t>
  </si>
  <si>
    <t>28248683</t>
  </si>
  <si>
    <t>29392384</t>
  </si>
  <si>
    <t>28417777</t>
  </si>
  <si>
    <t>28417851</t>
  </si>
  <si>
    <t>28417882</t>
  </si>
  <si>
    <t>28417892</t>
  </si>
  <si>
    <t>28417962</t>
  </si>
  <si>
    <t>28418090</t>
  </si>
  <si>
    <t>28418098</t>
  </si>
  <si>
    <t>28418106</t>
  </si>
  <si>
    <t>28418114</t>
  </si>
  <si>
    <t>28419406</t>
  </si>
  <si>
    <t>28419419</t>
  </si>
  <si>
    <t>28306450</t>
  </si>
  <si>
    <t>28494331</t>
  </si>
  <si>
    <t>28494780</t>
  </si>
  <si>
    <t>28494782</t>
  </si>
  <si>
    <t>28494784</t>
  </si>
  <si>
    <t>28494789</t>
  </si>
  <si>
    <t>28494791</t>
  </si>
  <si>
    <t>28494880</t>
  </si>
  <si>
    <t>28495513</t>
  </si>
  <si>
    <t>28495526</t>
  </si>
  <si>
    <t>28495843</t>
  </si>
  <si>
    <t>28495852</t>
  </si>
  <si>
    <t>28496153</t>
  </si>
  <si>
    <t>28496155</t>
  </si>
  <si>
    <t>28496430</t>
  </si>
  <si>
    <t>28496502</t>
  </si>
  <si>
    <t>28496575</t>
  </si>
  <si>
    <t>28496588</t>
  </si>
  <si>
    <t>28478780</t>
  </si>
  <si>
    <t>28478788</t>
  </si>
  <si>
    <t>28478803</t>
  </si>
  <si>
    <t>28478813</t>
  </si>
  <si>
    <t>28478823</t>
  </si>
  <si>
    <t>28478833</t>
  </si>
  <si>
    <t>28478843</t>
  </si>
  <si>
    <t>28478853</t>
  </si>
  <si>
    <t>28149452</t>
  </si>
  <si>
    <t>28023163</t>
  </si>
  <si>
    <t>28448573</t>
  </si>
  <si>
    <t>28449205</t>
  </si>
  <si>
    <t>28449207</t>
  </si>
  <si>
    <t>28449211</t>
  </si>
  <si>
    <t>28449215</t>
  </si>
  <si>
    <t>28449220</t>
  </si>
  <si>
    <t>28449244</t>
  </si>
  <si>
    <t>28449259</t>
  </si>
  <si>
    <t>28449264</t>
  </si>
  <si>
    <t>28451586</t>
  </si>
  <si>
    <t>28451596</t>
  </si>
  <si>
    <t>29303982</t>
  </si>
  <si>
    <t>28688132</t>
  </si>
  <si>
    <t>28688181</t>
  </si>
  <si>
    <t>28688185</t>
  </si>
  <si>
    <t>28376473</t>
  </si>
  <si>
    <t>28376550</t>
  </si>
  <si>
    <t>28376555</t>
  </si>
  <si>
    <t>28376558</t>
  </si>
  <si>
    <t>28376598</t>
  </si>
  <si>
    <t>28376602</t>
  </si>
  <si>
    <t>28376605</t>
  </si>
  <si>
    <t>28376615</t>
  </si>
  <si>
    <t>28376619</t>
  </si>
  <si>
    <t>28376635</t>
  </si>
  <si>
    <t>28376646</t>
  </si>
  <si>
    <t>28376648</t>
  </si>
  <si>
    <t>28376872</t>
  </si>
  <si>
    <t>28376949</t>
  </si>
  <si>
    <t>28376954</t>
  </si>
  <si>
    <t>28376957</t>
  </si>
  <si>
    <t>28376997</t>
  </si>
  <si>
    <t>28377001</t>
  </si>
  <si>
    <t>28377004</t>
  </si>
  <si>
    <t>28377014</t>
  </si>
  <si>
    <t>28377018</t>
  </si>
  <si>
    <t>28377034</t>
  </si>
  <si>
    <t>28377045</t>
  </si>
  <si>
    <t>28377047</t>
  </si>
  <si>
    <t>28377214</t>
  </si>
  <si>
    <t>28377220</t>
  </si>
  <si>
    <t>28244766</t>
  </si>
  <si>
    <t>28244817</t>
  </si>
  <si>
    <t>28245060</t>
  </si>
  <si>
    <t>29482676</t>
  </si>
  <si>
    <t>29482686</t>
  </si>
  <si>
    <t>29482838</t>
  </si>
  <si>
    <t>29482840</t>
  </si>
  <si>
    <t>29482842</t>
  </si>
  <si>
    <t>29482847</t>
  </si>
  <si>
    <t>29482850</t>
  </si>
  <si>
    <t>29483271</t>
  </si>
  <si>
    <t>29483273</t>
  </si>
  <si>
    <t>29483275</t>
  </si>
  <si>
    <t>29483280</t>
  </si>
  <si>
    <t>29483283</t>
  </si>
  <si>
    <t>29483286</t>
  </si>
  <si>
    <t>29483308</t>
  </si>
  <si>
    <t>28647448</t>
  </si>
  <si>
    <t>28647596</t>
  </si>
  <si>
    <t>28647712</t>
  </si>
  <si>
    <t>28647929</t>
  </si>
  <si>
    <t>28647986</t>
  </si>
  <si>
    <t>28648028</t>
  </si>
  <si>
    <t>28636300</t>
  </si>
  <si>
    <t>28636352</t>
  </si>
  <si>
    <t>28636667</t>
  </si>
  <si>
    <t>28636675</t>
  </si>
  <si>
    <t>28636685</t>
  </si>
  <si>
    <t>28636719</t>
  </si>
  <si>
    <t>28636730</t>
  </si>
  <si>
    <t>28636985</t>
  </si>
  <si>
    <t>28637139</t>
  </si>
  <si>
    <t>28637147</t>
  </si>
  <si>
    <t>28637168</t>
  </si>
  <si>
    <t>28637248</t>
  </si>
  <si>
    <t>28637349</t>
  </si>
  <si>
    <t>28637351</t>
  </si>
  <si>
    <t>28637355</t>
  </si>
  <si>
    <t>28637357</t>
  </si>
  <si>
    <t>28637362</t>
  </si>
  <si>
    <t>28637366</t>
  </si>
  <si>
    <t>28039931</t>
  </si>
  <si>
    <t>28040002</t>
  </si>
  <si>
    <t>28040032</t>
  </si>
  <si>
    <t>28040206</t>
  </si>
  <si>
    <t>28040268</t>
  </si>
  <si>
    <t>28040396</t>
  </si>
  <si>
    <t>28040428</t>
  </si>
  <si>
    <t>28040450</t>
  </si>
  <si>
    <t>28040890</t>
  </si>
  <si>
    <t>28041874</t>
  </si>
  <si>
    <t>28044215</t>
  </si>
  <si>
    <t>28044217</t>
  </si>
  <si>
    <t>28044219</t>
  </si>
  <si>
    <t>28044227</t>
  </si>
  <si>
    <t>28044231</t>
  </si>
  <si>
    <t>28044263</t>
  </si>
  <si>
    <t>28049003</t>
  </si>
  <si>
    <t>28516150</t>
  </si>
  <si>
    <t>28935835</t>
  </si>
  <si>
    <t>28935837</t>
  </si>
  <si>
    <t>28935847</t>
  </si>
  <si>
    <t>28604209</t>
  </si>
  <si>
    <t>28604217</t>
  </si>
  <si>
    <t>28604778</t>
  </si>
  <si>
    <t>28619711</t>
  </si>
  <si>
    <t>28620092</t>
  </si>
  <si>
    <t>29260186</t>
  </si>
  <si>
    <t>28530334</t>
  </si>
  <si>
    <t>28358633</t>
  </si>
  <si>
    <t>29479963</t>
  </si>
  <si>
    <t>29479976</t>
  </si>
  <si>
    <t>29479980</t>
  </si>
  <si>
    <t>29480637</t>
  </si>
  <si>
    <t>28488619</t>
  </si>
  <si>
    <t>28637926</t>
  </si>
  <si>
    <t>28637928</t>
  </si>
  <si>
    <t>28637932</t>
  </si>
  <si>
    <t>28637936</t>
  </si>
  <si>
    <t>28637939</t>
  </si>
  <si>
    <t>28637943</t>
  </si>
  <si>
    <t>28638069</t>
  </si>
  <si>
    <t>28539781</t>
  </si>
  <si>
    <t>28538429</t>
  </si>
  <si>
    <t>28538794</t>
  </si>
  <si>
    <t>28539047</t>
  </si>
  <si>
    <t>28539068</t>
  </si>
  <si>
    <t>28504931</t>
  </si>
  <si>
    <t>28504933</t>
  </si>
  <si>
    <t>28504937</t>
  </si>
  <si>
    <t>28504941</t>
  </si>
  <si>
    <t>28504958</t>
  </si>
  <si>
    <t>28504962</t>
  </si>
  <si>
    <t>28504966</t>
  </si>
  <si>
    <t>28504970</t>
  </si>
  <si>
    <t>28505000</t>
  </si>
  <si>
    <t>28505002</t>
  </si>
  <si>
    <t>28506909</t>
  </si>
  <si>
    <t>28507172</t>
  </si>
  <si>
    <t>28507174</t>
  </si>
  <si>
    <t>28507176</t>
  </si>
  <si>
    <t>28507181</t>
  </si>
  <si>
    <t>28507184</t>
  </si>
  <si>
    <t>28507187</t>
  </si>
  <si>
    <t>28507642</t>
  </si>
  <si>
    <t>28507657</t>
  </si>
  <si>
    <t>29451763</t>
  </si>
  <si>
    <t>29451882</t>
  </si>
  <si>
    <t>29452055</t>
  </si>
  <si>
    <t>29452489</t>
  </si>
  <si>
    <t>28233523</t>
  </si>
  <si>
    <t>28233600</t>
  </si>
  <si>
    <t>28233605</t>
  </si>
  <si>
    <t>28233608</t>
  </si>
  <si>
    <t>28233648</t>
  </si>
  <si>
    <t>28233652</t>
  </si>
  <si>
    <t>28233655</t>
  </si>
  <si>
    <t>28233665</t>
  </si>
  <si>
    <t>28233669</t>
  </si>
  <si>
    <t>28233691</t>
  </si>
  <si>
    <t>28233706</t>
  </si>
  <si>
    <t>28233708</t>
  </si>
  <si>
    <t>28233716</t>
  </si>
  <si>
    <t>28233843</t>
  </si>
  <si>
    <t>28233920</t>
  </si>
  <si>
    <t>28233925</t>
  </si>
  <si>
    <t>28233928</t>
  </si>
  <si>
    <t>28233968</t>
  </si>
  <si>
    <t>28233972</t>
  </si>
  <si>
    <t>28233975</t>
  </si>
  <si>
    <t>28233985</t>
  </si>
  <si>
    <t>28233989</t>
  </si>
  <si>
    <t>28234011</t>
  </si>
  <si>
    <t>28234026</t>
  </si>
  <si>
    <t>28234028</t>
  </si>
  <si>
    <t>28234036</t>
  </si>
  <si>
    <t>28324565</t>
  </si>
  <si>
    <t>28325896</t>
  </si>
  <si>
    <t>28326679</t>
  </si>
  <si>
    <t>28326694</t>
  </si>
  <si>
    <t>28326696</t>
  </si>
  <si>
    <t>28326698</t>
  </si>
  <si>
    <t>28327348</t>
  </si>
  <si>
    <t>28327423</t>
  </si>
  <si>
    <t>28073933</t>
  </si>
  <si>
    <t>28654874</t>
  </si>
  <si>
    <t>28654925</t>
  </si>
  <si>
    <t>28253904</t>
  </si>
  <si>
    <t>28458907</t>
  </si>
  <si>
    <t>28458915</t>
  </si>
  <si>
    <t>28458920</t>
  </si>
  <si>
    <t>28458932</t>
  </si>
  <si>
    <t>28458936</t>
  </si>
  <si>
    <t>28458940</t>
  </si>
  <si>
    <t>28458944</t>
  </si>
  <si>
    <t>28458971</t>
  </si>
  <si>
    <t>28458976</t>
  </si>
  <si>
    <t>28458992</t>
  </si>
  <si>
    <t>28458996</t>
  </si>
  <si>
    <t>28459000</t>
  </si>
  <si>
    <t>28459003</t>
  </si>
  <si>
    <t>28459007</t>
  </si>
  <si>
    <t>28459011</t>
  </si>
  <si>
    <t>28459015</t>
  </si>
  <si>
    <t>28459019</t>
  </si>
  <si>
    <t>28459029</t>
  </si>
  <si>
    <t>28459046</t>
  </si>
  <si>
    <t>28459050</t>
  </si>
  <si>
    <t>28601702</t>
  </si>
  <si>
    <t>28601706</t>
  </si>
  <si>
    <t>28601710</t>
  </si>
  <si>
    <t>28601713</t>
  </si>
  <si>
    <t>28601717</t>
  </si>
  <si>
    <t>28601721</t>
  </si>
  <si>
    <t>28601734</t>
  </si>
  <si>
    <t>28601739</t>
  </si>
  <si>
    <t>28253005</t>
  </si>
  <si>
    <t>28253037</t>
  </si>
  <si>
    <t>28253074</t>
  </si>
  <si>
    <t>28253282</t>
  </si>
  <si>
    <t>28253324</t>
  </si>
  <si>
    <t>28943514</t>
  </si>
  <si>
    <t>28660151</t>
  </si>
  <si>
    <t>28660223</t>
  </si>
  <si>
    <t>28137269</t>
  </si>
  <si>
    <t>28137641</t>
  </si>
  <si>
    <t>28132587</t>
  </si>
  <si>
    <t>28306110</t>
  </si>
  <si>
    <t>28240831</t>
  </si>
  <si>
    <t>28241736</t>
  </si>
  <si>
    <t>28111621</t>
  </si>
  <si>
    <t>29483741</t>
  </si>
  <si>
    <t>28456997</t>
  </si>
  <si>
    <t>28457000</t>
  </si>
  <si>
    <t>28250424</t>
  </si>
  <si>
    <t>28847563</t>
  </si>
  <si>
    <t>29401608</t>
  </si>
  <si>
    <t>28684880</t>
  </si>
  <si>
    <t>28684881</t>
  </si>
  <si>
    <t>28685155</t>
  </si>
  <si>
    <t>28685175</t>
  </si>
  <si>
    <t>28685537</t>
  </si>
  <si>
    <t>28685538</t>
  </si>
  <si>
    <t>28685736</t>
  </si>
  <si>
    <t>28685737</t>
  </si>
  <si>
    <t>28685758</t>
  </si>
  <si>
    <t>28685759</t>
  </si>
  <si>
    <t>28685780</t>
  </si>
  <si>
    <t>28685781</t>
  </si>
  <si>
    <t>28685802</t>
  </si>
  <si>
    <t>28685803</t>
  </si>
  <si>
    <t>28687164</t>
  </si>
  <si>
    <t>28687165</t>
  </si>
  <si>
    <t>28687466</t>
  </si>
  <si>
    <t>28687467</t>
  </si>
  <si>
    <t>28687801</t>
  </si>
  <si>
    <t>28687802</t>
  </si>
  <si>
    <t>28687825</t>
  </si>
  <si>
    <t>28687826</t>
  </si>
  <si>
    <t>28687844</t>
  </si>
  <si>
    <t>28687845</t>
  </si>
  <si>
    <t>28686376</t>
  </si>
  <si>
    <t>28686377</t>
  </si>
  <si>
    <t>28686437</t>
  </si>
  <si>
    <t>28686438</t>
  </si>
  <si>
    <t>28686488</t>
  </si>
  <si>
    <t>28686489</t>
  </si>
  <si>
    <t>28686510</t>
  </si>
  <si>
    <t>28686511</t>
  </si>
  <si>
    <t>29304498</t>
  </si>
  <si>
    <t>29304499</t>
  </si>
  <si>
    <t>28682020</t>
  </si>
  <si>
    <t>28682021</t>
  </si>
  <si>
    <t>28682140</t>
  </si>
  <si>
    <t>28682141</t>
  </si>
  <si>
    <t>28682162</t>
  </si>
  <si>
    <t>28682163</t>
  </si>
  <si>
    <t>28682184</t>
  </si>
  <si>
    <t>28682185</t>
  </si>
  <si>
    <t>28682206</t>
  </si>
  <si>
    <t>28682207</t>
  </si>
  <si>
    <t>28682228</t>
  </si>
  <si>
    <t>28682229</t>
  </si>
  <si>
    <t>28682465</t>
  </si>
  <si>
    <t>28682466</t>
  </si>
  <si>
    <t>28682487</t>
  </si>
  <si>
    <t>28682488</t>
  </si>
  <si>
    <t>28682509</t>
  </si>
  <si>
    <t>28682510</t>
  </si>
  <si>
    <t>28682536</t>
  </si>
  <si>
    <t>28682537</t>
  </si>
  <si>
    <t>28682600</t>
  </si>
  <si>
    <t>28682601</t>
  </si>
  <si>
    <t>28682622</t>
  </si>
  <si>
    <t>28682623</t>
  </si>
  <si>
    <t>28682644</t>
  </si>
  <si>
    <t>28682645</t>
  </si>
  <si>
    <t>28682691</t>
  </si>
  <si>
    <t>28682692</t>
  </si>
  <si>
    <t>28682713</t>
  </si>
  <si>
    <t>28682714</t>
  </si>
  <si>
    <t>28682735</t>
  </si>
  <si>
    <t>28682736</t>
  </si>
  <si>
    <t>28682757</t>
  </si>
  <si>
    <t>28682758</t>
  </si>
  <si>
    <t>28682784</t>
  </si>
  <si>
    <t>28682785</t>
  </si>
  <si>
    <t>28682821</t>
  </si>
  <si>
    <t>28682822</t>
  </si>
  <si>
    <t>28682846</t>
  </si>
  <si>
    <t>28682847</t>
  </si>
  <si>
    <t>28682918</t>
  </si>
  <si>
    <t>28682919</t>
  </si>
  <si>
    <t>28682940</t>
  </si>
  <si>
    <t>28682941</t>
  </si>
  <si>
    <t>28682962</t>
  </si>
  <si>
    <t>28682963</t>
  </si>
  <si>
    <t>28683089</t>
  </si>
  <si>
    <t>28683090</t>
  </si>
  <si>
    <t>28683199</t>
  </si>
  <si>
    <t>28683200</t>
  </si>
  <si>
    <t>28683221</t>
  </si>
  <si>
    <t>28683222</t>
  </si>
  <si>
    <t>28683243</t>
  </si>
  <si>
    <t>28683244</t>
  </si>
  <si>
    <t>28683289</t>
  </si>
  <si>
    <t>28683290</t>
  </si>
  <si>
    <t>28683369</t>
  </si>
  <si>
    <t>28683370</t>
  </si>
  <si>
    <t>28683391</t>
  </si>
  <si>
    <t>28683392</t>
  </si>
  <si>
    <t>28683428</t>
  </si>
  <si>
    <t>28683429</t>
  </si>
  <si>
    <t>28684225</t>
  </si>
  <si>
    <t>28684226</t>
  </si>
  <si>
    <t>28684277</t>
  </si>
  <si>
    <t>28684278</t>
  </si>
  <si>
    <t>28684299</t>
  </si>
  <si>
    <t>28684300</t>
  </si>
  <si>
    <t>28002866</t>
  </si>
  <si>
    <t>28002867</t>
  </si>
  <si>
    <t>28006464</t>
  </si>
  <si>
    <t>28006465</t>
  </si>
  <si>
    <t>28006955</t>
  </si>
  <si>
    <t>28006956</t>
  </si>
  <si>
    <t>27990516</t>
  </si>
  <si>
    <t>27990517</t>
  </si>
  <si>
    <t>28400945</t>
  </si>
  <si>
    <t>28400946</t>
  </si>
  <si>
    <t>28707793</t>
  </si>
  <si>
    <t>28707794</t>
  </si>
  <si>
    <t>28396353</t>
  </si>
  <si>
    <t>28396354</t>
  </si>
  <si>
    <t>28331460</t>
  </si>
  <si>
    <t>28331461</t>
  </si>
  <si>
    <t>27991900</t>
  </si>
  <si>
    <t>27991901</t>
  </si>
  <si>
    <t>28002679</t>
  </si>
  <si>
    <t>28002680</t>
  </si>
  <si>
    <t>28398545</t>
  </si>
  <si>
    <t>28398546</t>
  </si>
  <si>
    <t>28399132</t>
  </si>
  <si>
    <t>28399133</t>
  </si>
  <si>
    <t>28122445</t>
  </si>
  <si>
    <t>28122446</t>
  </si>
  <si>
    <t>28352069</t>
  </si>
  <si>
    <t>28352070</t>
  </si>
  <si>
    <t>28410754</t>
  </si>
  <si>
    <t>28410755</t>
  </si>
  <si>
    <t>28411295</t>
  </si>
  <si>
    <t>28411296</t>
  </si>
  <si>
    <t>28269922</t>
  </si>
  <si>
    <t>28269923</t>
  </si>
  <si>
    <t>28057102</t>
  </si>
  <si>
    <t>28057103</t>
  </si>
  <si>
    <t>29254017</t>
  </si>
  <si>
    <t>29254018</t>
  </si>
  <si>
    <t>28055823</t>
  </si>
  <si>
    <t>28055824</t>
  </si>
  <si>
    <t>27999043</t>
  </si>
  <si>
    <t>27999044</t>
  </si>
  <si>
    <t>27999386</t>
  </si>
  <si>
    <t>27999387</t>
  </si>
  <si>
    <t>28335456</t>
  </si>
  <si>
    <t>28335457</t>
  </si>
  <si>
    <t>28338073</t>
  </si>
  <si>
    <t>28338074</t>
  </si>
  <si>
    <t>28010969</t>
  </si>
  <si>
    <t>28012915</t>
  </si>
  <si>
    <t>28013992</t>
  </si>
  <si>
    <t>28013993</t>
  </si>
  <si>
    <t>28017520</t>
  </si>
  <si>
    <t>28017521</t>
  </si>
  <si>
    <t>28017797</t>
  </si>
  <si>
    <t>28410024</t>
  </si>
  <si>
    <t>28410025</t>
  </si>
  <si>
    <t>28260046</t>
  </si>
  <si>
    <t>28260047</t>
  </si>
  <si>
    <t>29399272</t>
  </si>
  <si>
    <t>29399273</t>
  </si>
  <si>
    <t>28010116</t>
  </si>
  <si>
    <t>28010117</t>
  </si>
  <si>
    <t>28010458</t>
  </si>
  <si>
    <t>27988777</t>
  </si>
  <si>
    <t>27988778</t>
  </si>
  <si>
    <t>27988982</t>
  </si>
  <si>
    <t>27988983</t>
  </si>
  <si>
    <t>27989107</t>
  </si>
  <si>
    <t>27989108</t>
  </si>
  <si>
    <t>28406182</t>
  </si>
  <si>
    <t>28406183</t>
  </si>
  <si>
    <t>28394665</t>
  </si>
  <si>
    <t>28394666</t>
  </si>
  <si>
    <t>28401948</t>
  </si>
  <si>
    <t>28401949</t>
  </si>
  <si>
    <t>28402247</t>
  </si>
  <si>
    <t>28402248</t>
  </si>
  <si>
    <t>28402575</t>
  </si>
  <si>
    <t>28402576</t>
  </si>
  <si>
    <t>28399613</t>
  </si>
  <si>
    <t>28399614</t>
  </si>
  <si>
    <t>28413220</t>
  </si>
  <si>
    <t>28413221</t>
  </si>
  <si>
    <t>28413524</t>
  </si>
  <si>
    <t>28413525</t>
  </si>
  <si>
    <t>28413998</t>
  </si>
  <si>
    <t>28413999</t>
  </si>
  <si>
    <t>28415994</t>
  </si>
  <si>
    <t>28416011</t>
  </si>
  <si>
    <t>28416022</t>
  </si>
  <si>
    <t>28416023</t>
  </si>
  <si>
    <t>28416043</t>
  </si>
  <si>
    <t>28416044</t>
  </si>
  <si>
    <t>28416193</t>
  </si>
  <si>
    <t>28416194</t>
  </si>
  <si>
    <t>28285474</t>
  </si>
  <si>
    <t>28285475</t>
  </si>
  <si>
    <t>28285487</t>
  </si>
  <si>
    <t>28285488</t>
  </si>
  <si>
    <t>28285557</t>
  </si>
  <si>
    <t>28285558</t>
  </si>
  <si>
    <t>28286760</t>
  </si>
  <si>
    <t>28286761</t>
  </si>
  <si>
    <t>28286919</t>
  </si>
  <si>
    <t>28286920</t>
  </si>
  <si>
    <t>28264485</t>
  </si>
  <si>
    <t>28264486</t>
  </si>
  <si>
    <t>28264585</t>
  </si>
  <si>
    <t>28264586</t>
  </si>
  <si>
    <t>28266326</t>
  </si>
  <si>
    <t>28266327</t>
  </si>
  <si>
    <t>27985805</t>
  </si>
  <si>
    <t>27985806</t>
  </si>
  <si>
    <t>28701682</t>
  </si>
  <si>
    <t>28701683</t>
  </si>
  <si>
    <t>28230499</t>
  </si>
  <si>
    <t>28230500</t>
  </si>
  <si>
    <t>28395390</t>
  </si>
  <si>
    <t>28395391</t>
  </si>
  <si>
    <t>28395474</t>
  </si>
  <si>
    <t>28395475</t>
  </si>
  <si>
    <t>28685328</t>
  </si>
  <si>
    <t>28685329</t>
  </si>
  <si>
    <t>28685418</t>
  </si>
  <si>
    <t>28685419</t>
  </si>
  <si>
    <t>28935842</t>
  </si>
  <si>
    <t>28935843</t>
  </si>
  <si>
    <t>28376630</t>
  </si>
  <si>
    <t>28376632</t>
  </si>
  <si>
    <t>28377029</t>
  </si>
  <si>
    <t>28377031</t>
  </si>
  <si>
    <t>28233688</t>
  </si>
  <si>
    <t>28234006</t>
  </si>
  <si>
    <t>28234008</t>
  </si>
  <si>
    <t>28641805</t>
  </si>
  <si>
    <t>28136167</t>
  </si>
  <si>
    <t>28136631</t>
  </si>
  <si>
    <t>28117117</t>
  </si>
  <si>
    <t>28132585</t>
  </si>
  <si>
    <t>28146448</t>
  </si>
  <si>
    <t>28241733</t>
  </si>
  <si>
    <t>28111618</t>
  </si>
  <si>
    <t>28303136</t>
  </si>
  <si>
    <t>28456996</t>
  </si>
  <si>
    <t>28250421</t>
  </si>
  <si>
    <t>29447970</t>
  </si>
  <si>
    <t>29484609</t>
  </si>
  <si>
    <t>28530117</t>
  </si>
  <si>
    <t>28530121</t>
  </si>
  <si>
    <t>28530145</t>
  </si>
  <si>
    <t>28686603</t>
  </si>
  <si>
    <t>29407716</t>
  </si>
  <si>
    <t>29407739</t>
  </si>
  <si>
    <t>29407761</t>
  </si>
  <si>
    <t>29408735</t>
  </si>
  <si>
    <t>29408914</t>
  </si>
  <si>
    <t>29408970</t>
  </si>
  <si>
    <t>29408972</t>
  </si>
  <si>
    <t>29409005</t>
  </si>
  <si>
    <t>28238302</t>
  </si>
  <si>
    <t>28238959</t>
  </si>
  <si>
    <t>28372722</t>
  </si>
  <si>
    <t>28377749</t>
  </si>
  <si>
    <t>28377821</t>
  </si>
  <si>
    <t>29482660</t>
  </si>
  <si>
    <t>28689298</t>
  </si>
  <si>
    <t>28600610</t>
  </si>
  <si>
    <t>28557411</t>
  </si>
  <si>
    <t>28234592</t>
  </si>
  <si>
    <t>28641274</t>
  </si>
  <si>
    <t>28317386</t>
  </si>
  <si>
    <t>28643646</t>
  </si>
  <si>
    <t>28643774</t>
  </si>
  <si>
    <t>28643920</t>
  </si>
  <si>
    <t>28644068</t>
  </si>
  <si>
    <t>28644345</t>
  </si>
  <si>
    <t>28644666</t>
  </si>
  <si>
    <t>28642641</t>
  </si>
  <si>
    <t>28642682</t>
  </si>
  <si>
    <t>28642964</t>
  </si>
  <si>
    <t>28642966</t>
  </si>
  <si>
    <t>28643056</t>
  </si>
  <si>
    <t>28643369</t>
  </si>
  <si>
    <t>28643372</t>
  </si>
  <si>
    <t>28643433</t>
  </si>
  <si>
    <t>28251977</t>
  </si>
  <si>
    <t>27944729</t>
  </si>
  <si>
    <t>27946044</t>
  </si>
  <si>
    <t>27950811</t>
  </si>
  <si>
    <t>27950842</t>
  </si>
  <si>
    <t>27951789</t>
  </si>
  <si>
    <t>28308768</t>
  </si>
  <si>
    <t>28309070</t>
  </si>
  <si>
    <t>28642275</t>
  </si>
  <si>
    <t>29447945</t>
  </si>
  <si>
    <t>28295693</t>
  </si>
  <si>
    <t>28313712</t>
  </si>
  <si>
    <t>28305672</t>
  </si>
  <si>
    <t>28742466</t>
  </si>
  <si>
    <t>28175531</t>
  </si>
  <si>
    <t>28177042</t>
  </si>
  <si>
    <t>29483864</t>
  </si>
  <si>
    <t>28752697</t>
  </si>
  <si>
    <t>28307349</t>
  </si>
  <si>
    <t>28893561</t>
  </si>
  <si>
    <t>29452848</t>
  </si>
  <si>
    <t>28891609</t>
  </si>
  <si>
    <t>28912227</t>
  </si>
  <si>
    <t>28891435</t>
  </si>
  <si>
    <t>29300619</t>
  </si>
  <si>
    <t>28602096</t>
  </si>
  <si>
    <t>28602097</t>
  </si>
  <si>
    <t>28625079</t>
  </si>
  <si>
    <t>28625081</t>
  </si>
  <si>
    <t>28625082</t>
  </si>
  <si>
    <t>28625083</t>
  </si>
  <si>
    <t>28625084</t>
  </si>
  <si>
    <t>28625085</t>
  </si>
  <si>
    <t>28626470</t>
  </si>
  <si>
    <t>29245641</t>
  </si>
  <si>
    <t>29252589</t>
  </si>
  <si>
    <t>28466875</t>
  </si>
  <si>
    <t>29102186</t>
  </si>
  <si>
    <t>29102850</t>
  </si>
  <si>
    <t>29102893</t>
  </si>
  <si>
    <t>29102926</t>
  </si>
  <si>
    <t>29103003</t>
  </si>
  <si>
    <t>29103042</t>
  </si>
  <si>
    <t>29103113</t>
  </si>
  <si>
    <t>29103166</t>
  </si>
  <si>
    <t>29103209</t>
  </si>
  <si>
    <t>29103398</t>
  </si>
  <si>
    <t>29103428</t>
  </si>
  <si>
    <t>29107531</t>
  </si>
  <si>
    <t>29108548</t>
  </si>
  <si>
    <t>29073595</t>
  </si>
  <si>
    <t>29073597</t>
  </si>
  <si>
    <t>29108593</t>
  </si>
  <si>
    <t>29108594</t>
  </si>
  <si>
    <t>29114473</t>
  </si>
  <si>
    <t>29114841</t>
  </si>
  <si>
    <t>29114894</t>
  </si>
  <si>
    <t>29114946</t>
  </si>
  <si>
    <t>29115007</t>
  </si>
  <si>
    <t>29115067</t>
  </si>
  <si>
    <t>29115112</t>
  </si>
  <si>
    <t>29115188</t>
  </si>
  <si>
    <t>29115189</t>
  </si>
  <si>
    <t>29115190</t>
  </si>
  <si>
    <t>29115191</t>
  </si>
  <si>
    <t>29115192</t>
  </si>
  <si>
    <t>29115193</t>
  </si>
  <si>
    <t>29115194</t>
  </si>
  <si>
    <t>29115195</t>
  </si>
  <si>
    <t>29115196</t>
  </si>
  <si>
    <t>29118973</t>
  </si>
  <si>
    <t>29119777</t>
  </si>
  <si>
    <t>29119823</t>
  </si>
  <si>
    <t>29119852</t>
  </si>
  <si>
    <t>29119876</t>
  </si>
  <si>
    <t>29119877</t>
  </si>
  <si>
    <t>29119878</t>
  </si>
  <si>
    <t>29119879</t>
  </si>
  <si>
    <t>29119902</t>
  </si>
  <si>
    <t>29119903</t>
  </si>
  <si>
    <t>29119904</t>
  </si>
  <si>
    <t>29119905</t>
  </si>
  <si>
    <t>28516797</t>
  </si>
  <si>
    <t>28516814</t>
  </si>
  <si>
    <t>29257482</t>
  </si>
  <si>
    <t>29257496</t>
  </si>
  <si>
    <t>29257515</t>
  </si>
  <si>
    <t>29219830</t>
  </si>
  <si>
    <t>29119949</t>
  </si>
  <si>
    <t>29119968</t>
  </si>
  <si>
    <t>29120047</t>
  </si>
  <si>
    <t>29120048</t>
  </si>
  <si>
    <t>29120080</t>
  </si>
  <si>
    <t>29120081</t>
  </si>
  <si>
    <t>29120140</t>
  </si>
  <si>
    <t>29120141</t>
  </si>
  <si>
    <t>29120585</t>
  </si>
  <si>
    <t>29120586</t>
  </si>
  <si>
    <t>29121819</t>
  </si>
  <si>
    <t>29121820</t>
  </si>
  <si>
    <t>29122217</t>
  </si>
  <si>
    <t>29122218</t>
  </si>
  <si>
    <t>28478572</t>
  </si>
  <si>
    <t>28478589</t>
  </si>
  <si>
    <t>28478602</t>
  </si>
  <si>
    <t>28478634</t>
  </si>
  <si>
    <t>28478714</t>
  </si>
  <si>
    <t>28428393</t>
  </si>
  <si>
    <t>28447036</t>
  </si>
  <si>
    <t>28447044</t>
  </si>
  <si>
    <t>28447052</t>
  </si>
  <si>
    <t>28447060</t>
  </si>
  <si>
    <t>28447089</t>
  </si>
  <si>
    <t>28448411</t>
  </si>
  <si>
    <t>28449270</t>
  </si>
  <si>
    <t>28449272</t>
  </si>
  <si>
    <t>28449273</t>
  </si>
  <si>
    <t>28449274</t>
  </si>
  <si>
    <t>28449275</t>
  </si>
  <si>
    <t>28449276</t>
  </si>
  <si>
    <t>28449277</t>
  </si>
  <si>
    <t>28449768</t>
  </si>
  <si>
    <t>29306720</t>
  </si>
  <si>
    <t>29306776</t>
  </si>
  <si>
    <t>29306807</t>
  </si>
  <si>
    <t>29306912</t>
  </si>
  <si>
    <t>29307095</t>
  </si>
  <si>
    <t>29307167</t>
  </si>
  <si>
    <t>29307219</t>
  </si>
  <si>
    <t>29157708</t>
  </si>
  <si>
    <t>29157709</t>
  </si>
  <si>
    <t>29157908</t>
  </si>
  <si>
    <t>29157990</t>
  </si>
  <si>
    <t>29158064</t>
  </si>
  <si>
    <t>29158130</t>
  </si>
  <si>
    <t>29158206</t>
  </si>
  <si>
    <t>29158207</t>
  </si>
  <si>
    <t>29158282</t>
  </si>
  <si>
    <t>29158283</t>
  </si>
  <si>
    <t>29158301</t>
  </si>
  <si>
    <t>29158302</t>
  </si>
  <si>
    <t>29158372</t>
  </si>
  <si>
    <t>29158373</t>
  </si>
  <si>
    <t>29158488</t>
  </si>
  <si>
    <t>29158489</t>
  </si>
  <si>
    <t>29158522</t>
  </si>
  <si>
    <t>29158523</t>
  </si>
  <si>
    <t>29158556</t>
  </si>
  <si>
    <t>29158557</t>
  </si>
  <si>
    <t>29158598</t>
  </si>
  <si>
    <t>29158599</t>
  </si>
  <si>
    <t>29160492</t>
  </si>
  <si>
    <t>29160493</t>
  </si>
  <si>
    <t>29160526</t>
  </si>
  <si>
    <t>29160527</t>
  </si>
  <si>
    <t>29160562</t>
  </si>
  <si>
    <t>29160563</t>
  </si>
  <si>
    <t>29051544</t>
  </si>
  <si>
    <t>29058531</t>
  </si>
  <si>
    <t>29059094</t>
  </si>
  <si>
    <t>29059481</t>
  </si>
  <si>
    <t>29059939</t>
  </si>
  <si>
    <t>29371037</t>
  </si>
  <si>
    <t>29144702</t>
  </si>
  <si>
    <t>29144793</t>
  </si>
  <si>
    <t>29156288</t>
  </si>
  <si>
    <t>29157217</t>
  </si>
  <si>
    <t>29157364</t>
  </si>
  <si>
    <t>29157482</t>
  </si>
  <si>
    <t>29157483</t>
  </si>
  <si>
    <t>29157484</t>
  </si>
  <si>
    <t>29157485</t>
  </si>
  <si>
    <t>29393708</t>
  </si>
  <si>
    <t>29394697</t>
  </si>
  <si>
    <t>29424425</t>
  </si>
  <si>
    <t>29429285</t>
  </si>
  <si>
    <t>29429309</t>
  </si>
  <si>
    <t>29127083</t>
  </si>
  <si>
    <t>29127113</t>
  </si>
  <si>
    <t>29127147</t>
  </si>
  <si>
    <t>29127174</t>
  </si>
  <si>
    <t>29127314</t>
  </si>
  <si>
    <t>29127382</t>
  </si>
  <si>
    <t>29127383</t>
  </si>
  <si>
    <t>29127534</t>
  </si>
  <si>
    <t>29127919</t>
  </si>
  <si>
    <t>29128702</t>
  </si>
  <si>
    <t>29128935</t>
  </si>
  <si>
    <t>29128986</t>
  </si>
  <si>
    <t>29129030</t>
  </si>
  <si>
    <t>29129295</t>
  </si>
  <si>
    <t>29129296</t>
  </si>
  <si>
    <t>29129297</t>
  </si>
  <si>
    <t>29129298</t>
  </si>
  <si>
    <t>29137441</t>
  </si>
  <si>
    <t>29137593</t>
  </si>
  <si>
    <t>29137607</t>
  </si>
  <si>
    <t>29137624</t>
  </si>
  <si>
    <t>29137639</t>
  </si>
  <si>
    <t>29137650</t>
  </si>
  <si>
    <t>29137664</t>
  </si>
  <si>
    <t>29137687</t>
  </si>
  <si>
    <t>29137700</t>
  </si>
  <si>
    <t>29137716</t>
  </si>
  <si>
    <t>28557304</t>
  </si>
  <si>
    <t>28557316</t>
  </si>
  <si>
    <t>28505005</t>
  </si>
  <si>
    <t>28505007</t>
  </si>
  <si>
    <t>28505008</t>
  </si>
  <si>
    <t>28505009</t>
  </si>
  <si>
    <t>28505011</t>
  </si>
  <si>
    <t>28505012</t>
  </si>
  <si>
    <t>29122964</t>
  </si>
  <si>
    <t>29122965</t>
  </si>
  <si>
    <t>29123348</t>
  </si>
  <si>
    <t>29123349</t>
  </si>
  <si>
    <t>29123736</t>
  </si>
  <si>
    <t>29123737</t>
  </si>
  <si>
    <t>29125228</t>
  </si>
  <si>
    <t>29127049</t>
  </si>
  <si>
    <t>29127065</t>
  </si>
  <si>
    <t>29029742</t>
  </si>
  <si>
    <t>29029892</t>
  </si>
  <si>
    <t>29031099</t>
  </si>
  <si>
    <t>29031100</t>
  </si>
  <si>
    <t>29031181</t>
  </si>
  <si>
    <t>29032484</t>
  </si>
  <si>
    <t>29032485</t>
  </si>
  <si>
    <t>29032566</t>
  </si>
  <si>
    <t>28458982</t>
  </si>
  <si>
    <t>28458984</t>
  </si>
  <si>
    <t>28458985</t>
  </si>
  <si>
    <t>28458986</t>
  </si>
  <si>
    <t>28458987</t>
  </si>
  <si>
    <t>28458988</t>
  </si>
  <si>
    <t>28458989</t>
  </si>
  <si>
    <t>28459035</t>
  </si>
  <si>
    <t>28459037</t>
  </si>
  <si>
    <t>28459038</t>
  </si>
  <si>
    <t>28459039</t>
  </si>
  <si>
    <t>28459040</t>
  </si>
  <si>
    <t>28459041</t>
  </si>
  <si>
    <t>28459042</t>
  </si>
  <si>
    <t>28459043</t>
  </si>
  <si>
    <t>28459044</t>
  </si>
  <si>
    <t>29335047</t>
  </si>
  <si>
    <t>29335048</t>
  </si>
  <si>
    <t>29338791</t>
  </si>
  <si>
    <t>29339491</t>
  </si>
  <si>
    <t>29344555</t>
  </si>
  <si>
    <t>29354180</t>
  </si>
  <si>
    <t>29355171</t>
  </si>
  <si>
    <t>29355184</t>
  </si>
  <si>
    <t>29355197</t>
  </si>
  <si>
    <t>29355208</t>
  </si>
  <si>
    <t>29355221</t>
  </si>
  <si>
    <t>29355233</t>
  </si>
  <si>
    <t>28601747</t>
  </si>
  <si>
    <t>28601748</t>
  </si>
  <si>
    <t>28601749</t>
  </si>
  <si>
    <t>28601750</t>
  </si>
  <si>
    <t>28601751</t>
  </si>
  <si>
    <t>28601752</t>
  </si>
  <si>
    <t>29435146</t>
  </si>
  <si>
    <t>29435147</t>
  </si>
  <si>
    <t>29443165</t>
  </si>
  <si>
    <t>29446897</t>
  </si>
  <si>
    <t>29446910</t>
  </si>
  <si>
    <t>28689296</t>
  </si>
  <si>
    <t>28643669</t>
  </si>
  <si>
    <t>28643918</t>
  </si>
  <si>
    <t>27951718</t>
  </si>
  <si>
    <t>29447943</t>
  </si>
  <si>
    <t>28006459</t>
  </si>
  <si>
    <t>29024172</t>
  </si>
  <si>
    <t>29024174</t>
  </si>
  <si>
    <t>29024407</t>
  </si>
  <si>
    <t>29024410</t>
  </si>
  <si>
    <t>29375521</t>
  </si>
  <si>
    <t>29375525</t>
  </si>
  <si>
    <t>29375595</t>
  </si>
  <si>
    <t>29375599</t>
  </si>
  <si>
    <t>29375649</t>
  </si>
  <si>
    <t>29375653</t>
  </si>
  <si>
    <t>29450181</t>
  </si>
  <si>
    <t>29450185</t>
  </si>
  <si>
    <t>29363367</t>
  </si>
  <si>
    <t>29363372</t>
  </si>
  <si>
    <t>29363419</t>
  </si>
  <si>
    <t>29363423</t>
  </si>
  <si>
    <t>28707790</t>
  </si>
  <si>
    <t>28707801</t>
  </si>
  <si>
    <t>28707921</t>
  </si>
  <si>
    <t>27979001</t>
  </si>
  <si>
    <t>27983812</t>
  </si>
  <si>
    <t>28396319</t>
  </si>
  <si>
    <t>28001913</t>
  </si>
  <si>
    <t>29406641</t>
  </si>
  <si>
    <t>29406645</t>
  </si>
  <si>
    <t>29372806</t>
  </si>
  <si>
    <t>29372888</t>
  </si>
  <si>
    <t>29372918</t>
  </si>
  <si>
    <t>29372985</t>
  </si>
  <si>
    <t>29372989</t>
  </si>
  <si>
    <t>29373054</t>
  </si>
  <si>
    <t>29373058</t>
  </si>
  <si>
    <t>29373131</t>
  </si>
  <si>
    <t>29373135</t>
  </si>
  <si>
    <t>29373290</t>
  </si>
  <si>
    <t>29373590</t>
  </si>
  <si>
    <t>29373835</t>
  </si>
  <si>
    <t>29373839</t>
  </si>
  <si>
    <t>29367025</t>
  </si>
  <si>
    <t>29102700</t>
  </si>
  <si>
    <t>29102704</t>
  </si>
  <si>
    <t>29102732</t>
  </si>
  <si>
    <t>29102751</t>
  </si>
  <si>
    <t>29102772</t>
  </si>
  <si>
    <t>29102776</t>
  </si>
  <si>
    <t>29102795</t>
  </si>
  <si>
    <t>29102799</t>
  </si>
  <si>
    <t>29102819</t>
  </si>
  <si>
    <t>29102823</t>
  </si>
  <si>
    <t>28351256</t>
  </si>
  <si>
    <t>28108048</t>
  </si>
  <si>
    <t>28108964</t>
  </si>
  <si>
    <t>28410770</t>
  </si>
  <si>
    <t>28411290</t>
  </si>
  <si>
    <t>28874299</t>
  </si>
  <si>
    <t>28874303</t>
  </si>
  <si>
    <t>28874345</t>
  </si>
  <si>
    <t>28874350</t>
  </si>
  <si>
    <t>28874463</t>
  </si>
  <si>
    <t>28280442</t>
  </si>
  <si>
    <t>29118686</t>
  </si>
  <si>
    <t>28843220</t>
  </si>
  <si>
    <t>28843222</t>
  </si>
  <si>
    <t>28268366</t>
  </si>
  <si>
    <t>28269742</t>
  </si>
  <si>
    <t>28516837</t>
  </si>
  <si>
    <t>28516850</t>
  </si>
  <si>
    <t>28528209</t>
  </si>
  <si>
    <t>28528468</t>
  </si>
  <si>
    <t>28489328</t>
  </si>
  <si>
    <t>28489332</t>
  </si>
  <si>
    <t>28489414</t>
  </si>
  <si>
    <t>28489418</t>
  </si>
  <si>
    <t>29005994</t>
  </si>
  <si>
    <t>28939987</t>
  </si>
  <si>
    <t>28393755</t>
  </si>
  <si>
    <t>29258378</t>
  </si>
  <si>
    <t>28881423</t>
  </si>
  <si>
    <t>27997134</t>
  </si>
  <si>
    <t>27999363</t>
  </si>
  <si>
    <t>28000209</t>
  </si>
  <si>
    <t>28336130</t>
  </si>
  <si>
    <t>28336143</t>
  </si>
  <si>
    <t>28336499</t>
  </si>
  <si>
    <t>28336512</t>
  </si>
  <si>
    <t>28923023</t>
  </si>
  <si>
    <t>28923027</t>
  </si>
  <si>
    <t>28953720</t>
  </si>
  <si>
    <t>28953798</t>
  </si>
  <si>
    <t>28953801</t>
  </si>
  <si>
    <t>28953842</t>
  </si>
  <si>
    <t>28893541</t>
  </si>
  <si>
    <t>28893545</t>
  </si>
  <si>
    <t>28893558</t>
  </si>
  <si>
    <t>28893741</t>
  </si>
  <si>
    <t>28893744</t>
  </si>
  <si>
    <t>29468407</t>
  </si>
  <si>
    <t>29468412</t>
  </si>
  <si>
    <t>28877710</t>
  </si>
  <si>
    <t>28877712</t>
  </si>
  <si>
    <t>28013770</t>
  </si>
  <si>
    <t>28017163</t>
  </si>
  <si>
    <t>28888550</t>
  </si>
  <si>
    <t>28888855</t>
  </si>
  <si>
    <t>28478632</t>
  </si>
  <si>
    <t>28478712</t>
  </si>
  <si>
    <t>29452850</t>
  </si>
  <si>
    <t>28339440</t>
  </si>
  <si>
    <t>28339457</t>
  </si>
  <si>
    <t>29311044</t>
  </si>
  <si>
    <t>28410019</t>
  </si>
  <si>
    <t>28410069</t>
  </si>
  <si>
    <t>28891538</t>
  </si>
  <si>
    <t>28891722</t>
  </si>
  <si>
    <t>29377454</t>
  </si>
  <si>
    <t>29023679</t>
  </si>
  <si>
    <t>29023805</t>
  </si>
  <si>
    <t>28877915</t>
  </si>
  <si>
    <t>29022099</t>
  </si>
  <si>
    <t>29022250</t>
  </si>
  <si>
    <t>28896570</t>
  </si>
  <si>
    <t>29399330</t>
  </si>
  <si>
    <t>29402035</t>
  </si>
  <si>
    <t>28054162</t>
  </si>
  <si>
    <t>28009763</t>
  </si>
  <si>
    <t>28884994</t>
  </si>
  <si>
    <t>28885065</t>
  </si>
  <si>
    <t>28885678</t>
  </si>
  <si>
    <t>29003690</t>
  </si>
  <si>
    <t>27988768</t>
  </si>
  <si>
    <t>27988977</t>
  </si>
  <si>
    <t>27989076</t>
  </si>
  <si>
    <t>27989092</t>
  </si>
  <si>
    <t>28912081</t>
  </si>
  <si>
    <t>28912102</t>
  </si>
  <si>
    <t>29166489</t>
  </si>
  <si>
    <t>29411986</t>
  </si>
  <si>
    <t>29411988</t>
  </si>
  <si>
    <t>29412022</t>
  </si>
  <si>
    <t>29412024</t>
  </si>
  <si>
    <t>29412055</t>
  </si>
  <si>
    <t>29412057</t>
  </si>
  <si>
    <t>29412188</t>
  </si>
  <si>
    <t>29412192</t>
  </si>
  <si>
    <t>29412216</t>
  </si>
  <si>
    <t>29412220</t>
  </si>
  <si>
    <t>28922497</t>
  </si>
  <si>
    <t>28922501</t>
  </si>
  <si>
    <t>28922596</t>
  </si>
  <si>
    <t>28922601</t>
  </si>
  <si>
    <t>28922663</t>
  </si>
  <si>
    <t>28922668</t>
  </si>
  <si>
    <t>28922860</t>
  </si>
  <si>
    <t>28922865</t>
  </si>
  <si>
    <t>28878455</t>
  </si>
  <si>
    <t>28878620</t>
  </si>
  <si>
    <t>28878679</t>
  </si>
  <si>
    <t>28878685</t>
  </si>
  <si>
    <t>28879114</t>
  </si>
  <si>
    <t>28879118</t>
  </si>
  <si>
    <t>28401943</t>
  </si>
  <si>
    <t>28402242</t>
  </si>
  <si>
    <t>29411564</t>
  </si>
  <si>
    <t>29411568</t>
  </si>
  <si>
    <t>29411654</t>
  </si>
  <si>
    <t>29411658</t>
  </si>
  <si>
    <t>29411748</t>
  </si>
  <si>
    <t>29411752</t>
  </si>
  <si>
    <t>29411845</t>
  </si>
  <si>
    <t>29411849</t>
  </si>
  <si>
    <t>29411907</t>
  </si>
  <si>
    <t>29411911</t>
  </si>
  <si>
    <t>28688578</t>
  </si>
  <si>
    <t>28688594</t>
  </si>
  <si>
    <t>28688610</t>
  </si>
  <si>
    <t>28897422</t>
  </si>
  <si>
    <t>28897426</t>
  </si>
  <si>
    <t>28897512</t>
  </si>
  <si>
    <t>28897516</t>
  </si>
  <si>
    <t>28897781</t>
  </si>
  <si>
    <t>28898482</t>
  </si>
  <si>
    <t>28898700</t>
  </si>
  <si>
    <t>28898704</t>
  </si>
  <si>
    <t>28898774</t>
  </si>
  <si>
    <t>28898778</t>
  </si>
  <si>
    <t>28842318</t>
  </si>
  <si>
    <t>28842330</t>
  </si>
  <si>
    <t>29380194</t>
  </si>
  <si>
    <t>29380241</t>
  </si>
  <si>
    <t>29382377</t>
  </si>
  <si>
    <t>29382379</t>
  </si>
  <si>
    <t>28413300</t>
  </si>
  <si>
    <t>28413521</t>
  </si>
  <si>
    <t>28413992</t>
  </si>
  <si>
    <t>28416040</t>
  </si>
  <si>
    <t>28416096</t>
  </si>
  <si>
    <t>28416170</t>
  </si>
  <si>
    <t>29029210</t>
  </si>
  <si>
    <t>29029587</t>
  </si>
  <si>
    <t>29286142</t>
  </si>
  <si>
    <t>28283595</t>
  </si>
  <si>
    <t>28285627</t>
  </si>
  <si>
    <t>28286743</t>
  </si>
  <si>
    <t>28286755</t>
  </si>
  <si>
    <t>28286809</t>
  </si>
  <si>
    <t>29365843</t>
  </si>
  <si>
    <t>29366459</t>
  </si>
  <si>
    <t>29366715</t>
  </si>
  <si>
    <t>28891367</t>
  </si>
  <si>
    <t>28891369</t>
  </si>
  <si>
    <t>28891421</t>
  </si>
  <si>
    <t>29374190</t>
  </si>
  <si>
    <t>29374317</t>
  </si>
  <si>
    <t>29374544</t>
  </si>
  <si>
    <t>29374617</t>
  </si>
  <si>
    <t>28861026</t>
  </si>
  <si>
    <t>29320732</t>
  </si>
  <si>
    <t>29362621</t>
  </si>
  <si>
    <t>29362625</t>
  </si>
  <si>
    <t>29362650</t>
  </si>
  <si>
    <t>29362654</t>
  </si>
  <si>
    <t>29362871</t>
  </si>
  <si>
    <t>29362875</t>
  </si>
  <si>
    <t>29362903</t>
  </si>
  <si>
    <t>29362907</t>
  </si>
  <si>
    <t>29363068</t>
  </si>
  <si>
    <t>28939735</t>
  </si>
  <si>
    <t>28939739</t>
  </si>
  <si>
    <t>28859441</t>
  </si>
  <si>
    <t>29300520</t>
  </si>
  <si>
    <t>28265345</t>
  </si>
  <si>
    <t>28265525</t>
  </si>
  <si>
    <t>29018673</t>
  </si>
  <si>
    <t>29018677</t>
  </si>
  <si>
    <t>29005108</t>
  </si>
  <si>
    <t>29005198</t>
  </si>
  <si>
    <t>29227437</t>
  </si>
  <si>
    <t>27985488</t>
  </si>
  <si>
    <t>29236406</t>
  </si>
  <si>
    <t>28895434</t>
  </si>
  <si>
    <t>29364002</t>
  </si>
  <si>
    <t>28395842</t>
  </si>
  <si>
    <t>29319999</t>
  </si>
  <si>
    <t>29320417</t>
  </si>
  <si>
    <t>28602049</t>
  </si>
  <si>
    <t>28602053</t>
  </si>
  <si>
    <t>28602077</t>
  </si>
  <si>
    <t>28602081</t>
  </si>
  <si>
    <t>28602087</t>
  </si>
  <si>
    <t>28625031</t>
  </si>
  <si>
    <t>28625073</t>
  </si>
  <si>
    <t>28625086</t>
  </si>
  <si>
    <t>28625094</t>
  </si>
  <si>
    <t>28625244</t>
  </si>
  <si>
    <t>28637497</t>
  </si>
  <si>
    <t>28637795</t>
  </si>
  <si>
    <t>28637850</t>
  </si>
  <si>
    <t>28466011</t>
  </si>
  <si>
    <t>28488204</t>
  </si>
  <si>
    <t>29457918</t>
  </si>
  <si>
    <t>28417861</t>
  </si>
  <si>
    <t>28417890</t>
  </si>
  <si>
    <t>28419363</t>
  </si>
  <si>
    <t>28494284</t>
  </si>
  <si>
    <t>28221774</t>
  </si>
  <si>
    <t>28221987</t>
  </si>
  <si>
    <t>28478798</t>
  </si>
  <si>
    <t>28023171</t>
  </si>
  <si>
    <t>28023336</t>
  </si>
  <si>
    <t>28449209</t>
  </si>
  <si>
    <t>28449257</t>
  </si>
  <si>
    <t>28449261</t>
  </si>
  <si>
    <t>28451624</t>
  </si>
  <si>
    <t>29407059</t>
  </si>
  <si>
    <t>29407367</t>
  </si>
  <si>
    <t>28376471</t>
  </si>
  <si>
    <t>28376511</t>
  </si>
  <si>
    <t>28376870</t>
  </si>
  <si>
    <t>28376910</t>
  </si>
  <si>
    <t>28377178</t>
  </si>
  <si>
    <t>28377255</t>
  </si>
  <si>
    <t>29483311</t>
  </si>
  <si>
    <t>28647668</t>
  </si>
  <si>
    <t>28647715</t>
  </si>
  <si>
    <t>28647948</t>
  </si>
  <si>
    <t>28636683</t>
  </si>
  <si>
    <t>28637153</t>
  </si>
  <si>
    <t>28637353</t>
  </si>
  <si>
    <t>28619700</t>
  </si>
  <si>
    <t>28619793</t>
  </si>
  <si>
    <t>28619795</t>
  </si>
  <si>
    <t>28620021</t>
  </si>
  <si>
    <t>28620073</t>
  </si>
  <si>
    <t>28530290</t>
  </si>
  <si>
    <t>28530292</t>
  </si>
  <si>
    <t>28530337</t>
  </si>
  <si>
    <t>28358647</t>
  </si>
  <si>
    <t>29410042</t>
  </si>
  <si>
    <t>29410119</t>
  </si>
  <si>
    <t>29410121</t>
  </si>
  <si>
    <t>29410697</t>
  </si>
  <si>
    <t>29410788</t>
  </si>
  <si>
    <t>29410821</t>
  </si>
  <si>
    <t>29411106</t>
  </si>
  <si>
    <t>28539747</t>
  </si>
  <si>
    <t>28539800</t>
  </si>
  <si>
    <t>28539802</t>
  </si>
  <si>
    <t>28504939</t>
  </si>
  <si>
    <t>28504998</t>
  </si>
  <si>
    <t>28505013</t>
  </si>
  <si>
    <t>28506912</t>
  </si>
  <si>
    <t>28233521</t>
  </si>
  <si>
    <t>28233561</t>
  </si>
  <si>
    <t>28233718</t>
  </si>
  <si>
    <t>28233841</t>
  </si>
  <si>
    <t>28233881</t>
  </si>
  <si>
    <t>28234038</t>
  </si>
  <si>
    <t>28655164</t>
  </si>
  <si>
    <t>28655299</t>
  </si>
  <si>
    <t>28253884</t>
  </si>
  <si>
    <t>28458973</t>
  </si>
  <si>
    <t>28458998</t>
  </si>
  <si>
    <t>28601704</t>
  </si>
  <si>
    <t>28601708</t>
  </si>
  <si>
    <t>28601732</t>
  </si>
  <si>
    <t>28601736</t>
  </si>
  <si>
    <t>29319932</t>
  </si>
  <si>
    <t>29320342</t>
  </si>
  <si>
    <t>29373775</t>
  </si>
  <si>
    <t>29373779</t>
  </si>
  <si>
    <t>28888564</t>
  </si>
  <si>
    <t>29377468</t>
  </si>
  <si>
    <t>29479915</t>
  </si>
  <si>
    <t>29365784</t>
  </si>
  <si>
    <t>29365794</t>
  </si>
  <si>
    <t>29365917</t>
  </si>
  <si>
    <t>29366034</t>
  </si>
  <si>
    <t>29366038</t>
  </si>
  <si>
    <t>29366455</t>
  </si>
  <si>
    <t>29366713</t>
  </si>
  <si>
    <t>29374683</t>
  </si>
  <si>
    <t>29320793</t>
  </si>
  <si>
    <t>29362980</t>
  </si>
  <si>
    <t>29363066</t>
  </si>
  <si>
    <t>29300617</t>
  </si>
  <si>
    <t>29363940</t>
  </si>
  <si>
    <t>29364857</t>
  </si>
  <si>
    <t>29317588</t>
  </si>
  <si>
    <t>29317598</t>
  </si>
  <si>
    <t>29320659</t>
  </si>
  <si>
    <t>29320669</t>
  </si>
  <si>
    <t>28645121</t>
  </si>
  <si>
    <t>28865542</t>
  </si>
  <si>
    <t>27970188</t>
  </si>
  <si>
    <t>27970189</t>
  </si>
  <si>
    <t>29252984</t>
  </si>
  <si>
    <t>29252988</t>
  </si>
  <si>
    <t>29372802</t>
  </si>
  <si>
    <t>29373286</t>
  </si>
  <si>
    <t>29367015</t>
  </si>
  <si>
    <t>29367023</t>
  </si>
  <si>
    <t>28417748</t>
  </si>
  <si>
    <t>29118614</t>
  </si>
  <si>
    <t>28843180</t>
  </si>
  <si>
    <t>28528203</t>
  </si>
  <si>
    <t>28528211</t>
  </si>
  <si>
    <t>29314092</t>
  </si>
  <si>
    <t>29253843</t>
  </si>
  <si>
    <t>29258374</t>
  </si>
  <si>
    <t>28953844</t>
  </si>
  <si>
    <t>28893370</t>
  </si>
  <si>
    <t>28839578</t>
  </si>
  <si>
    <t>28380989</t>
  </si>
  <si>
    <t>28837082</t>
  </si>
  <si>
    <t>28896619</t>
  </si>
  <si>
    <t>29479888</t>
  </si>
  <si>
    <t>29479931</t>
  </si>
  <si>
    <t>28885682</t>
  </si>
  <si>
    <t>28912223</t>
  </si>
  <si>
    <t>28878681</t>
  </si>
  <si>
    <t>28405861</t>
  </si>
  <si>
    <t>29258486</t>
  </si>
  <si>
    <t>29258490</t>
  </si>
  <si>
    <t>28688574</t>
  </si>
  <si>
    <t>28688590</t>
  </si>
  <si>
    <t>28688606</t>
  </si>
  <si>
    <t>28897783</t>
  </si>
  <si>
    <t>28842805</t>
  </si>
  <si>
    <t>28842826</t>
  </si>
  <si>
    <t>29379798</t>
  </si>
  <si>
    <t>29379983</t>
  </si>
  <si>
    <t>29380198</t>
  </si>
  <si>
    <t>29380246</t>
  </si>
  <si>
    <t>29382742</t>
  </si>
  <si>
    <t>29382746</t>
  </si>
  <si>
    <t>28416190</t>
  </si>
  <si>
    <t>28020452</t>
  </si>
  <si>
    <t>29374322</t>
  </si>
  <si>
    <t>29374613</t>
  </si>
  <si>
    <t>29320962</t>
  </si>
  <si>
    <t>29313892</t>
  </si>
  <si>
    <t>29313896</t>
  </si>
  <si>
    <t>28858288</t>
  </si>
  <si>
    <t>28858292</t>
  </si>
  <si>
    <t>28858922</t>
  </si>
  <si>
    <t>29005112</t>
  </si>
  <si>
    <t>29005202</t>
  </si>
  <si>
    <t>29236410</t>
  </si>
  <si>
    <t>28395756</t>
  </si>
  <si>
    <t>28645081</t>
  </si>
  <si>
    <t>29450752</t>
  </si>
  <si>
    <t>29484215</t>
  </si>
  <si>
    <t>29484217</t>
  </si>
  <si>
    <t>28495488</t>
  </si>
  <si>
    <t>28495653</t>
  </si>
  <si>
    <t>28495655</t>
  </si>
  <si>
    <t>28495854</t>
  </si>
  <si>
    <t>28495858</t>
  </si>
  <si>
    <t>28496159</t>
  </si>
  <si>
    <t>28496174</t>
  </si>
  <si>
    <t>28496424</t>
  </si>
  <si>
    <t>28496570</t>
  </si>
  <si>
    <t>28496602</t>
  </si>
  <si>
    <t>29407649</t>
  </si>
  <si>
    <t>29407697</t>
  </si>
  <si>
    <t>29483020</t>
  </si>
  <si>
    <t>29483361</t>
  </si>
  <si>
    <t>28648030</t>
  </si>
  <si>
    <t>28648040</t>
  </si>
  <si>
    <t>28637041</t>
  </si>
  <si>
    <t>28637043</t>
  </si>
  <si>
    <t>28637359</t>
  </si>
  <si>
    <t>29409324</t>
  </si>
  <si>
    <t>28507178</t>
  </si>
  <si>
    <t>28507830</t>
  </si>
  <si>
    <t>28508343</t>
  </si>
  <si>
    <t>28325516</t>
  </si>
  <si>
    <t>29320054</t>
  </si>
  <si>
    <t>29484616</t>
  </si>
  <si>
    <t>29408739</t>
  </si>
  <si>
    <t>28376493</t>
  </si>
  <si>
    <t>28376501</t>
  </si>
  <si>
    <t>28376535</t>
  </si>
  <si>
    <t>28376592</t>
  </si>
  <si>
    <t>28376594</t>
  </si>
  <si>
    <t>28376613</t>
  </si>
  <si>
    <t>28376892</t>
  </si>
  <si>
    <t>28376900</t>
  </si>
  <si>
    <t>28376934</t>
  </si>
  <si>
    <t>28376991</t>
  </si>
  <si>
    <t>28376993</t>
  </si>
  <si>
    <t>28377012</t>
  </si>
  <si>
    <t>29483440</t>
  </si>
  <si>
    <t>29483451</t>
  </si>
  <si>
    <t>28233543</t>
  </si>
  <si>
    <t>28233551</t>
  </si>
  <si>
    <t>28233585</t>
  </si>
  <si>
    <t>28233642</t>
  </si>
  <si>
    <t>28233644</t>
  </si>
  <si>
    <t>28233663</t>
  </si>
  <si>
    <t>28233863</t>
  </si>
  <si>
    <t>28233871</t>
  </si>
  <si>
    <t>28233905</t>
  </si>
  <si>
    <t>28233962</t>
  </si>
  <si>
    <t>28233964</t>
  </si>
  <si>
    <t>28233983</t>
  </si>
  <si>
    <t>28642320</t>
  </si>
  <si>
    <t>28002853</t>
  </si>
  <si>
    <t>28006881</t>
  </si>
  <si>
    <t>28007464</t>
  </si>
  <si>
    <t>29163946</t>
  </si>
  <si>
    <t>29375204</t>
  </si>
  <si>
    <t>27990497</t>
  </si>
  <si>
    <t>29454090</t>
  </si>
  <si>
    <t>28707830</t>
  </si>
  <si>
    <t>27973592</t>
  </si>
  <si>
    <t>27978781</t>
  </si>
  <si>
    <t>27981566</t>
  </si>
  <si>
    <t>27981747</t>
  </si>
  <si>
    <t>27982683</t>
  </si>
  <si>
    <t>27938503</t>
  </si>
  <si>
    <t>27939964</t>
  </si>
  <si>
    <t>27992339</t>
  </si>
  <si>
    <t>28000439</t>
  </si>
  <si>
    <t>28001921</t>
  </si>
  <si>
    <t>28410751</t>
  </si>
  <si>
    <t>28411282</t>
  </si>
  <si>
    <t>28417723</t>
  </si>
  <si>
    <t>29001106</t>
  </si>
  <si>
    <t>29001321</t>
  </si>
  <si>
    <t>27997132</t>
  </si>
  <si>
    <t>27998072</t>
  </si>
  <si>
    <t>27999361</t>
  </si>
  <si>
    <t>27999371</t>
  </si>
  <si>
    <t>28336375</t>
  </si>
  <si>
    <t>28336563</t>
  </si>
  <si>
    <t>28877703</t>
  </si>
  <si>
    <t>28010975</t>
  </si>
  <si>
    <t>28012921</t>
  </si>
  <si>
    <t>28017240</t>
  </si>
  <si>
    <t>28017894</t>
  </si>
  <si>
    <t>28416544</t>
  </si>
  <si>
    <t>28338675</t>
  </si>
  <si>
    <t>28339609</t>
  </si>
  <si>
    <t>28410030</t>
  </si>
  <si>
    <t>28258002</t>
  </si>
  <si>
    <t>28111473</t>
  </si>
  <si>
    <t>28007858</t>
  </si>
  <si>
    <t>28010792</t>
  </si>
  <si>
    <t>27987482</t>
  </si>
  <si>
    <t>27988397</t>
  </si>
  <si>
    <t>27988766</t>
  </si>
  <si>
    <t>27988975</t>
  </si>
  <si>
    <t>27989070</t>
  </si>
  <si>
    <t>27989074</t>
  </si>
  <si>
    <t>28878048</t>
  </si>
  <si>
    <t>28401941</t>
  </si>
  <si>
    <t>28402240</t>
  </si>
  <si>
    <t>28413990</t>
  </si>
  <si>
    <t>28415998</t>
  </si>
  <si>
    <t>28416017</t>
  </si>
  <si>
    <t>28020244</t>
  </si>
  <si>
    <t>28285447</t>
  </si>
  <si>
    <t>28285467</t>
  </si>
  <si>
    <t>28285471</t>
  </si>
  <si>
    <t>28285495</t>
  </si>
  <si>
    <t>28285563</t>
  </si>
  <si>
    <t>28286631</t>
  </si>
  <si>
    <t>28286670</t>
  </si>
  <si>
    <t>28286702</t>
  </si>
  <si>
    <t>28286712</t>
  </si>
  <si>
    <t>28286729</t>
  </si>
  <si>
    <t>28286757</t>
  </si>
  <si>
    <t>28860897</t>
  </si>
  <si>
    <t>28861044</t>
  </si>
  <si>
    <t>27985622</t>
  </si>
  <si>
    <t>28376548</t>
  </si>
  <si>
    <t>28376552</t>
  </si>
  <si>
    <t>28376596</t>
  </si>
  <si>
    <t>28376600</t>
  </si>
  <si>
    <t>28376624</t>
  </si>
  <si>
    <t>28376947</t>
  </si>
  <si>
    <t>28376951</t>
  </si>
  <si>
    <t>28376995</t>
  </si>
  <si>
    <t>28376999</t>
  </si>
  <si>
    <t>28377023</t>
  </si>
  <si>
    <t>28233598</t>
  </si>
  <si>
    <t>28233602</t>
  </si>
  <si>
    <t>28233646</t>
  </si>
  <si>
    <t>28233650</t>
  </si>
  <si>
    <t>28233674</t>
  </si>
  <si>
    <t>28233918</t>
  </si>
  <si>
    <t>28233922</t>
  </si>
  <si>
    <t>28233966</t>
  </si>
  <si>
    <t>28233970</t>
  </si>
  <si>
    <t>28233994</t>
  </si>
  <si>
    <t>28376515</t>
  </si>
  <si>
    <t>28376560</t>
  </si>
  <si>
    <t>28376564</t>
  </si>
  <si>
    <t>28376568</t>
  </si>
  <si>
    <t>28376572</t>
  </si>
  <si>
    <t>28376576</t>
  </si>
  <si>
    <t>28376580</t>
  </si>
  <si>
    <t>28376588</t>
  </si>
  <si>
    <t>28376628</t>
  </si>
  <si>
    <t>28376640</t>
  </si>
  <si>
    <t>28376644</t>
  </si>
  <si>
    <t>28376914</t>
  </si>
  <si>
    <t>28376959</t>
  </si>
  <si>
    <t>28376963</t>
  </si>
  <si>
    <t>28376967</t>
  </si>
  <si>
    <t>28376971</t>
  </si>
  <si>
    <t>28376975</t>
  </si>
  <si>
    <t>28376979</t>
  </si>
  <si>
    <t>28376987</t>
  </si>
  <si>
    <t>28377027</t>
  </si>
  <si>
    <t>28377039</t>
  </si>
  <si>
    <t>28377043</t>
  </si>
  <si>
    <t>28233565</t>
  </si>
  <si>
    <t>28233610</t>
  </si>
  <si>
    <t>28233614</t>
  </si>
  <si>
    <t>28233618</t>
  </si>
  <si>
    <t>28233622</t>
  </si>
  <si>
    <t>28233626</t>
  </si>
  <si>
    <t>28233630</t>
  </si>
  <si>
    <t>28233638</t>
  </si>
  <si>
    <t>28233684</t>
  </si>
  <si>
    <t>28233696</t>
  </si>
  <si>
    <t>28233700</t>
  </si>
  <si>
    <t>28233885</t>
  </si>
  <si>
    <t>28233930</t>
  </si>
  <si>
    <t>28233934</t>
  </si>
  <si>
    <t>28233938</t>
  </si>
  <si>
    <t>28233942</t>
  </si>
  <si>
    <t>28233946</t>
  </si>
  <si>
    <t>28233950</t>
  </si>
  <si>
    <t>28233958</t>
  </si>
  <si>
    <t>28234004</t>
  </si>
  <si>
    <t>28234016</t>
  </si>
  <si>
    <t>28234020</t>
  </si>
  <si>
    <t>28022877</t>
  </si>
  <si>
    <t>27941413</t>
  </si>
  <si>
    <t>28233839</t>
  </si>
  <si>
    <t>28237032</t>
  </si>
  <si>
    <t>28376526</t>
  </si>
  <si>
    <t>28376623</t>
  </si>
  <si>
    <t>28376925</t>
  </si>
  <si>
    <t>28377022</t>
  </si>
  <si>
    <t>28233576</t>
  </si>
  <si>
    <t>28233673</t>
  </si>
  <si>
    <t>28233896</t>
  </si>
  <si>
    <t>28233993</t>
  </si>
  <si>
    <t>28685327</t>
  </si>
  <si>
    <t>28685417</t>
  </si>
  <si>
    <t>28935841</t>
  </si>
  <si>
    <t>28684879</t>
  </si>
  <si>
    <t>28685066</t>
  </si>
  <si>
    <t>28685536</t>
  </si>
  <si>
    <t>28685735</t>
  </si>
  <si>
    <t>28685757</t>
  </si>
  <si>
    <t>28685779</t>
  </si>
  <si>
    <t>28685801</t>
  </si>
  <si>
    <t>28687163</t>
  </si>
  <si>
    <t>28687465</t>
  </si>
  <si>
    <t>28687800</t>
  </si>
  <si>
    <t>28687824</t>
  </si>
  <si>
    <t>28687843</t>
  </si>
  <si>
    <t>28686375</t>
  </si>
  <si>
    <t>28686436</t>
  </si>
  <si>
    <t>28686487</t>
  </si>
  <si>
    <t>28686509</t>
  </si>
  <si>
    <t>29304497</t>
  </si>
  <si>
    <t>28682019</t>
  </si>
  <si>
    <t>28682139</t>
  </si>
  <si>
    <t>28682161</t>
  </si>
  <si>
    <t>28682183</t>
  </si>
  <si>
    <t>28682205</t>
  </si>
  <si>
    <t>28682227</t>
  </si>
  <si>
    <t>28682464</t>
  </si>
  <si>
    <t>28682486</t>
  </si>
  <si>
    <t>28682508</t>
  </si>
  <si>
    <t>28682535</t>
  </si>
  <si>
    <t>28682599</t>
  </si>
  <si>
    <t>28682621</t>
  </si>
  <si>
    <t>28682643</t>
  </si>
  <si>
    <t>28682690</t>
  </si>
  <si>
    <t>28682712</t>
  </si>
  <si>
    <t>28682734</t>
  </si>
  <si>
    <t>28682756</t>
  </si>
  <si>
    <t>28682783</t>
  </si>
  <si>
    <t>28682820</t>
  </si>
  <si>
    <t>28682845</t>
  </si>
  <si>
    <t>28682917</t>
  </si>
  <si>
    <t>28682939</t>
  </si>
  <si>
    <t>28682961</t>
  </si>
  <si>
    <t>28683088</t>
  </si>
  <si>
    <t>28683198</t>
  </si>
  <si>
    <t>28683220</t>
  </si>
  <si>
    <t>28683242</t>
  </si>
  <si>
    <t>28683288</t>
  </si>
  <si>
    <t>28683368</t>
  </si>
  <si>
    <t>28683390</t>
  </si>
  <si>
    <t>28683427</t>
  </si>
  <si>
    <t>28684224</t>
  </si>
  <si>
    <t>28684276</t>
  </si>
  <si>
    <t>28684298</t>
  </si>
  <si>
    <t>28641429</t>
  </si>
  <si>
    <t>28641430</t>
  </si>
  <si>
    <t>28641431</t>
  </si>
  <si>
    <t>28641432</t>
  </si>
  <si>
    <t>28641576</t>
  </si>
  <si>
    <t>28641596</t>
  </si>
  <si>
    <t>28641616</t>
  </si>
  <si>
    <t>28641636</t>
  </si>
  <si>
    <t>15.038.0245-0</t>
  </si>
  <si>
    <t>ADAPTADOR SOLDAVEL COM FLANGES E ANEL DE VEDACAO PARA CAIXA D'AGUA,COM DIAMETRO DE 60MMX2".FORNECIMENTO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</si>
</sst>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Calibri"/>
    </font>
    <font>
      <sz val="9"/>
      <name val="Calibri"/>
      <family val="2"/>
    </font>
    <font>
      <b/>
      <sz val="11"/>
      <name val="Calibri"/>
      <family val="2"/>
    </font>
    <font>
      <b/>
      <sz val="8"/>
      <name val="Calibri"/>
      <family val="2"/>
    </font>
    <font>
      <b/>
      <sz val="14"/>
      <name val="Calibri"/>
      <family val="2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CF8E3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8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</cellStyleXfs>
  <cellXfs count="25">
    <xf numFmtId="0" fontId="0" fillId="0" borderId="0" xfId="0"/>
    <xf numFmtId="0" fontId="1" fillId="0" borderId="0" xfId="1">
      <alignment wrapText="1"/>
    </xf>
    <xf numFmtId="0" fontId="2" fillId="0" borderId="0" xfId="7">
      <alignment horizontal="center"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1" fillId="5" borderId="1" xfId="1" applyFill="1" applyBorder="1">
      <alignment wrapText="1"/>
    </xf>
    <xf numFmtId="0" fontId="1" fillId="5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8" borderId="1" xfId="3" applyFill="1" applyBorder="1">
      <alignment wrapText="1"/>
    </xf>
    <xf numFmtId="0" fontId="2" fillId="0" borderId="0" xfId="7" applyAlignment="1">
      <alignment horizontal="center" vertical="center" wrapText="1"/>
    </xf>
    <xf numFmtId="0" fontId="2" fillId="6" borderId="1" xfId="7" applyFill="1" applyBorder="1">
      <alignment horizontal="center" wrapText="1"/>
    </xf>
    <xf numFmtId="0" fontId="0" fillId="7" borderId="1" xfId="0" applyFill="1" applyBorder="1" applyAlignment="1">
      <alignment horizontal="center"/>
    </xf>
    <xf numFmtId="0" fontId="2" fillId="2" borderId="1" xfId="7" applyFill="1" applyBorder="1">
      <alignment horizontal="center" wrapText="1"/>
    </xf>
    <xf numFmtId="0" fontId="2" fillId="8" borderId="1" xfId="7" applyFill="1" applyBorder="1">
      <alignment horizontal="center" wrapText="1"/>
    </xf>
    <xf numFmtId="0" fontId="5" fillId="8" borderId="1" xfId="3" applyFill="1" applyBorder="1">
      <alignment wrapText="1"/>
    </xf>
    <xf numFmtId="0" fontId="1" fillId="0" borderId="1" xfId="1" applyBorder="1">
      <alignment wrapText="1"/>
    </xf>
    <xf numFmtId="0" fontId="5" fillId="2" borderId="1" xfId="3" applyFill="1" applyBorder="1">
      <alignment wrapText="1"/>
    </xf>
    <xf numFmtId="0" fontId="2" fillId="2" borderId="1" xfId="7" applyFill="1" applyBorder="1" applyAlignment="1">
      <alignment horizontal="center" vertical="center" wrapText="1"/>
    </xf>
    <xf numFmtId="0" fontId="5" fillId="8" borderId="1" xfId="3" applyFill="1" applyBorder="1" applyAlignment="1">
      <alignment horizontal="center" wrapText="1"/>
    </xf>
  </cellXfs>
  <cellStyles count="8"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calcChain" Target="calcChain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13.2.1" displayName="Criteria_Summary13.2.1" ref="A7:E9" totalsRowCount="1" totalsRowCellStyle="styleRegular">
  <autoFilter ref="A7:E8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Criteria_Summary13.2.10" displayName="Criteria_Summary13.2.10" ref="A7:E9" totalsRowCount="1" totalsRowCellStyle="styleRegular">
  <autoFilter ref="A7:E8" xr:uid="{00000000-0009-0000-0100-00000A000000}"/>
  <tableColumns count="5">
    <tableColumn id="1" xr3:uid="{00000000-0010-0000-0900-000001000000}" name="Item"/>
    <tableColumn id="2" xr3:uid="{00000000-0010-0000-0900-000002000000}" name="Tipo"/>
    <tableColumn id="3" xr3:uid="{00000000-0010-0000-0900-000003000000}" name="Elementos" totalsRowFunction="sum"/>
    <tableColumn id="4" xr3:uid="{00000000-0010-0000-0900-000004000000}" name="Nome do Subcritério"/>
    <tableColumn id="5" xr3:uid="{00000000-0010-0000-0900-000005000000}" name="Total" totalsRowFunction="sum"/>
  </tableColumns>
  <tableStyleInfo name="TableStyleLight4" showFirstColumn="0" showLastColumn="0" showRowStripes="1" showColumnStripes="0"/>
</table>
</file>

<file path=xl/tables/table10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0" xr:uid="{00000000-000C-0000-FFFF-FFFF63000000}" name="Elements132471" displayName="Elements132471" ref="A6:E15" totalsRowCount="1" totalsRowCellStyle="styleRegular">
  <autoFilter ref="A6:E14" xr:uid="{00000000-0009-0000-0100-000064000000}"/>
  <tableColumns count="5">
    <tableColumn id="1" xr3:uid="{00000000-0010-0000-6300-000001000000}" name="Projeto"/>
    <tableColumn id="2" xr3:uid="{00000000-0010-0000-6300-000002000000}" name="Vínculo"/>
    <tableColumn id="3" xr3:uid="{00000000-0010-0000-6300-000003000000}" name="Elemento" totalsRowFunction="count"/>
    <tableColumn id="4" xr3:uid="{00000000-0010-0000-6300-000004000000}" name="Id do Revit"/>
    <tableColumn id="5" xr3:uid="{00000000-0010-0000-6300-000005000000}" name="Totais:" totalsRowFunction="sum"/>
  </tableColumns>
  <tableStyleInfo name="TableStyleLight4" showFirstColumn="0" showLastColumn="0" showRowStripes="1" showColumnStripes="0"/>
</table>
</file>

<file path=xl/tables/table10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1" xr:uid="{00000000-000C-0000-FFFF-FFFF64000000}" name="Elements132481" displayName="Elements132481" ref="A6:E10" totalsRowCount="1" totalsRowCellStyle="styleRegular">
  <autoFilter ref="A6:E9" xr:uid="{00000000-0009-0000-0100-000065000000}"/>
  <tableColumns count="5">
    <tableColumn id="1" xr3:uid="{00000000-0010-0000-6400-000001000000}" name="Projeto"/>
    <tableColumn id="2" xr3:uid="{00000000-0010-0000-6400-000002000000}" name="Vínculo"/>
    <tableColumn id="3" xr3:uid="{00000000-0010-0000-6400-000003000000}" name="Elemento" totalsRowFunction="count"/>
    <tableColumn id="4" xr3:uid="{00000000-0010-0000-6400-000004000000}" name="Id do Revit"/>
    <tableColumn id="5" xr3:uid="{00000000-0010-0000-6400-000005000000}" name="Totais:" totalsRowFunction="sum"/>
  </tableColumns>
  <tableStyleInfo name="TableStyleLight4" showFirstColumn="0" showLastColumn="0" showRowStripes="1" showColumnStripes="0"/>
</table>
</file>

<file path=xl/tables/table10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2" xr:uid="{00000000-000C-0000-FFFF-FFFF65000000}" name="Elements132491" displayName="Elements132491" ref="A6:E58" totalsRowCount="1" totalsRowCellStyle="styleRegular">
  <autoFilter ref="A6:E57" xr:uid="{00000000-0009-0000-0100-000066000000}"/>
  <tableColumns count="5">
    <tableColumn id="1" xr3:uid="{00000000-0010-0000-6500-000001000000}" name="Projeto"/>
    <tableColumn id="2" xr3:uid="{00000000-0010-0000-6500-000002000000}" name="Vínculo"/>
    <tableColumn id="3" xr3:uid="{00000000-0010-0000-6500-000003000000}" name="Elemento" totalsRowFunction="count"/>
    <tableColumn id="4" xr3:uid="{00000000-0010-0000-6500-000004000000}" name="Id do Revit"/>
    <tableColumn id="5" xr3:uid="{00000000-0010-0000-6500-000005000000}" name="Totais:" totalsRowFunction="sum"/>
  </tableColumns>
  <tableStyleInfo name="TableStyleLight4" showFirstColumn="0" showLastColumn="0" showRowStripes="1" showColumnStripes="0"/>
</table>
</file>

<file path=xl/tables/table10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3" xr:uid="{00000000-000C-0000-FFFF-FFFF66000000}" name="Elements132501" displayName="Elements132501" ref="A6:E15" totalsRowCount="1" totalsRowCellStyle="styleRegular">
  <autoFilter ref="A6:E14" xr:uid="{00000000-0009-0000-0100-000067000000}"/>
  <tableColumns count="5">
    <tableColumn id="1" xr3:uid="{00000000-0010-0000-6600-000001000000}" name="Projeto"/>
    <tableColumn id="2" xr3:uid="{00000000-0010-0000-6600-000002000000}" name="Vínculo"/>
    <tableColumn id="3" xr3:uid="{00000000-0010-0000-6600-000003000000}" name="Elemento" totalsRowFunction="count"/>
    <tableColumn id="4" xr3:uid="{00000000-0010-0000-6600-000004000000}" name="Id do Revit"/>
    <tableColumn id="5" xr3:uid="{00000000-0010-0000-6600-000005000000}" name="Totais: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Criteria_Summary13.2.11" displayName="Criteria_Summary13.2.11" ref="A7:E10" totalsRowCount="1" totalsRowCellStyle="styleRegular">
  <autoFilter ref="A7:E9" xr:uid="{00000000-0009-0000-0100-00000B000000}"/>
  <tableColumns count="5">
    <tableColumn id="1" xr3:uid="{00000000-0010-0000-0A00-000001000000}" name="Item"/>
    <tableColumn id="2" xr3:uid="{00000000-0010-0000-0A00-000002000000}" name="Tipo"/>
    <tableColumn id="3" xr3:uid="{00000000-0010-0000-0A00-000003000000}" name="Elementos" totalsRowFunction="sum"/>
    <tableColumn id="4" xr3:uid="{00000000-0010-0000-0A00-000004000000}" name="Nome do Subcritério"/>
    <tableColumn id="5" xr3:uid="{00000000-0010-0000-0A00-000005000000}" name="Total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Criteria_Summary13.2.12" displayName="Criteria_Summary13.2.12" ref="A7:E10" totalsRowCount="1" totalsRowCellStyle="styleRegular">
  <autoFilter ref="A7:E9" xr:uid="{00000000-0009-0000-0100-00000C000000}"/>
  <tableColumns count="5">
    <tableColumn id="1" xr3:uid="{00000000-0010-0000-0B00-000001000000}" name="Item"/>
    <tableColumn id="2" xr3:uid="{00000000-0010-0000-0B00-000002000000}" name="Tipo"/>
    <tableColumn id="3" xr3:uid="{00000000-0010-0000-0B00-000003000000}" name="Elementos" totalsRowFunction="sum"/>
    <tableColumn id="4" xr3:uid="{00000000-0010-0000-0B00-000004000000}" name="Nome do Subcritério"/>
    <tableColumn id="5" xr3:uid="{00000000-0010-0000-0B00-000005000000}" name="Total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Criteria_Summary13.2.13" displayName="Criteria_Summary13.2.13" ref="A7:E9" totalsRowCount="1" totalsRowCellStyle="styleRegular">
  <autoFilter ref="A7:E8" xr:uid="{00000000-0009-0000-0100-00000D000000}"/>
  <tableColumns count="5">
    <tableColumn id="1" xr3:uid="{00000000-0010-0000-0C00-000001000000}" name="Item"/>
    <tableColumn id="2" xr3:uid="{00000000-0010-0000-0C00-000002000000}" name="Tipo"/>
    <tableColumn id="3" xr3:uid="{00000000-0010-0000-0C00-000003000000}" name="Elementos" totalsRowFunction="sum"/>
    <tableColumn id="4" xr3:uid="{00000000-0010-0000-0C00-000004000000}" name="Nome do Subcritério"/>
    <tableColumn id="5" xr3:uid="{00000000-0010-0000-0C00-000005000000}" name="Total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Criteria_Summary13.2.14" displayName="Criteria_Summary13.2.14" ref="A7:E9" totalsRowCount="1" totalsRowCellStyle="styleRegular">
  <autoFilter ref="A7:E8" xr:uid="{00000000-0009-0000-0100-00000E000000}"/>
  <tableColumns count="5">
    <tableColumn id="1" xr3:uid="{00000000-0010-0000-0D00-000001000000}" name="Item"/>
    <tableColumn id="2" xr3:uid="{00000000-0010-0000-0D00-000002000000}" name="Tipo"/>
    <tableColumn id="3" xr3:uid="{00000000-0010-0000-0D00-000003000000}" name="Elementos" totalsRowFunction="sum"/>
    <tableColumn id="4" xr3:uid="{00000000-0010-0000-0D00-000004000000}" name="Nome do Subcritério"/>
    <tableColumn id="5" xr3:uid="{00000000-0010-0000-0D00-000005000000}" name="Total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Criteria_Summary13.2.15" displayName="Criteria_Summary13.2.15" ref="A7:E9" totalsRowCount="1" totalsRowCellStyle="styleRegular">
  <autoFilter ref="A7:E8" xr:uid="{00000000-0009-0000-0100-00000F000000}"/>
  <tableColumns count="5">
    <tableColumn id="1" xr3:uid="{00000000-0010-0000-0E00-000001000000}" name="Item"/>
    <tableColumn id="2" xr3:uid="{00000000-0010-0000-0E00-000002000000}" name="Tipo"/>
    <tableColumn id="3" xr3:uid="{00000000-0010-0000-0E00-000003000000}" name="Elementos" totalsRowFunction="sum"/>
    <tableColumn id="4" xr3:uid="{00000000-0010-0000-0E00-000004000000}" name="Nome do Subcritério"/>
    <tableColumn id="5" xr3:uid="{00000000-0010-0000-0E00-000005000000}" name="Total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Criteria_Summary13.2.16" displayName="Criteria_Summary13.2.16" ref="A7:E9" totalsRowCount="1" totalsRowCellStyle="styleRegular">
  <autoFilter ref="A7:E8" xr:uid="{00000000-0009-0000-0100-000010000000}"/>
  <tableColumns count="5">
    <tableColumn id="1" xr3:uid="{00000000-0010-0000-0F00-000001000000}" name="Item"/>
    <tableColumn id="2" xr3:uid="{00000000-0010-0000-0F00-000002000000}" name="Tipo"/>
    <tableColumn id="3" xr3:uid="{00000000-0010-0000-0F00-000003000000}" name="Elementos" totalsRowFunction="sum"/>
    <tableColumn id="4" xr3:uid="{00000000-0010-0000-0F00-000004000000}" name="Nome do Subcritério"/>
    <tableColumn id="5" xr3:uid="{00000000-0010-0000-0F00-000005000000}" name="Total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Criteria_Summary13.2.17" displayName="Criteria_Summary13.2.17" ref="A7:E9" totalsRowCount="1" totalsRowCellStyle="styleRegular">
  <autoFilter ref="A7:E8" xr:uid="{00000000-0009-0000-0100-000011000000}"/>
  <tableColumns count="5">
    <tableColumn id="1" xr3:uid="{00000000-0010-0000-1000-000001000000}" name="Item"/>
    <tableColumn id="2" xr3:uid="{00000000-0010-0000-1000-000002000000}" name="Tipo"/>
    <tableColumn id="3" xr3:uid="{00000000-0010-0000-1000-000003000000}" name="Elementos" totalsRowFunction="sum"/>
    <tableColumn id="4" xr3:uid="{00000000-0010-0000-1000-000004000000}" name="Nome do Subcritério"/>
    <tableColumn id="5" xr3:uid="{00000000-0010-0000-1000-000005000000}" name="Total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Criteria_Summary13.2.18" displayName="Criteria_Summary13.2.18" ref="A7:E9" totalsRowCount="1" totalsRowCellStyle="styleRegular">
  <autoFilter ref="A7:E8" xr:uid="{00000000-0009-0000-0100-000012000000}"/>
  <tableColumns count="5">
    <tableColumn id="1" xr3:uid="{00000000-0010-0000-1100-000001000000}" name="Item"/>
    <tableColumn id="2" xr3:uid="{00000000-0010-0000-1100-000002000000}" name="Tipo"/>
    <tableColumn id="3" xr3:uid="{00000000-0010-0000-1100-000003000000}" name="Elementos" totalsRowFunction="sum"/>
    <tableColumn id="4" xr3:uid="{00000000-0010-0000-1100-000004000000}" name="Nome do Subcritério"/>
    <tableColumn id="5" xr3:uid="{00000000-0010-0000-1100-000005000000}" name="Total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Criteria_Summary13.2.19" displayName="Criteria_Summary13.2.19" ref="A7:E9" totalsRowCount="1" totalsRowCellStyle="styleRegular">
  <autoFilter ref="A7:E8" xr:uid="{00000000-0009-0000-0100-000013000000}"/>
  <tableColumns count="5">
    <tableColumn id="1" xr3:uid="{00000000-0010-0000-1200-000001000000}" name="Item"/>
    <tableColumn id="2" xr3:uid="{00000000-0010-0000-1200-000002000000}" name="Tipo"/>
    <tableColumn id="3" xr3:uid="{00000000-0010-0000-1200-000003000000}" name="Elementos" totalsRowFunction="sum"/>
    <tableColumn id="4" xr3:uid="{00000000-0010-0000-1200-000004000000}" name="Nome do Subcritério"/>
    <tableColumn id="5" xr3:uid="{00000000-0010-0000-1200-000005000000}" name="Total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13.2.2" displayName="Criteria_Summary13.2.2" ref="A7:E9" totalsRowCount="1" totalsRowCellStyle="styleRegular">
  <autoFilter ref="A7:E8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Criteria_Summary13.2.20" displayName="Criteria_Summary13.2.20" ref="A7:E9" totalsRowCount="1" totalsRowCellStyle="styleRegular">
  <autoFilter ref="A7:E8" xr:uid="{00000000-0009-0000-0100-000014000000}"/>
  <tableColumns count="5">
    <tableColumn id="1" xr3:uid="{00000000-0010-0000-1300-000001000000}" name="Item"/>
    <tableColumn id="2" xr3:uid="{00000000-0010-0000-1300-000002000000}" name="Tipo"/>
    <tableColumn id="3" xr3:uid="{00000000-0010-0000-1300-000003000000}" name="Elementos" totalsRowFunction="sum"/>
    <tableColumn id="4" xr3:uid="{00000000-0010-0000-1300-000004000000}" name="Nome do Subcritério"/>
    <tableColumn id="5" xr3:uid="{00000000-0010-0000-1300-000005000000}" name="Total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Criteria_Summary13.2.21" displayName="Criteria_Summary13.2.21" ref="A7:E9" totalsRowCount="1" totalsRowCellStyle="styleRegular">
  <autoFilter ref="A7:E8" xr:uid="{00000000-0009-0000-0100-000015000000}"/>
  <tableColumns count="5">
    <tableColumn id="1" xr3:uid="{00000000-0010-0000-1400-000001000000}" name="Item"/>
    <tableColumn id="2" xr3:uid="{00000000-0010-0000-1400-000002000000}" name="Tipo"/>
    <tableColumn id="3" xr3:uid="{00000000-0010-0000-1400-000003000000}" name="Elementos" totalsRowFunction="sum"/>
    <tableColumn id="4" xr3:uid="{00000000-0010-0000-1400-000004000000}" name="Nome do Subcritério"/>
    <tableColumn id="5" xr3:uid="{00000000-0010-0000-1400-000005000000}" name="Total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Criteria_Summary13.2.22" displayName="Criteria_Summary13.2.22" ref="A7:E9" totalsRowCount="1" totalsRowCellStyle="styleRegular">
  <autoFilter ref="A7:E8" xr:uid="{00000000-0009-0000-0100-000016000000}"/>
  <tableColumns count="5">
    <tableColumn id="1" xr3:uid="{00000000-0010-0000-1500-000001000000}" name="Item"/>
    <tableColumn id="2" xr3:uid="{00000000-0010-0000-1500-000002000000}" name="Tipo"/>
    <tableColumn id="3" xr3:uid="{00000000-0010-0000-1500-000003000000}" name="Elementos" totalsRowFunction="sum"/>
    <tableColumn id="4" xr3:uid="{00000000-0010-0000-1500-000004000000}" name="Nome do Subcritério"/>
    <tableColumn id="5" xr3:uid="{00000000-0010-0000-1500-000005000000}" name="Total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6000000}" name="Criteria_Summary13.2.23" displayName="Criteria_Summary13.2.23" ref="A7:E9" totalsRowCount="1" totalsRowCellStyle="styleRegular">
  <autoFilter ref="A7:E8" xr:uid="{00000000-0009-0000-0100-000017000000}"/>
  <tableColumns count="5">
    <tableColumn id="1" xr3:uid="{00000000-0010-0000-1600-000001000000}" name="Item"/>
    <tableColumn id="2" xr3:uid="{00000000-0010-0000-1600-000002000000}" name="Tipo"/>
    <tableColumn id="3" xr3:uid="{00000000-0010-0000-1600-000003000000}" name="Elementos" totalsRowFunction="sum"/>
    <tableColumn id="4" xr3:uid="{00000000-0010-0000-1600-000004000000}" name="Nome do Subcritério"/>
    <tableColumn id="5" xr3:uid="{00000000-0010-0000-1600-000005000000}" name="Total" totalsRowFunction="sum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7000000}" name="Criteria_Summary13.2.24" displayName="Criteria_Summary13.2.24" ref="A7:E9" totalsRowCount="1" totalsRowCellStyle="styleRegular">
  <autoFilter ref="A7:E8" xr:uid="{00000000-0009-0000-0100-000018000000}"/>
  <tableColumns count="5">
    <tableColumn id="1" xr3:uid="{00000000-0010-0000-1700-000001000000}" name="Item"/>
    <tableColumn id="2" xr3:uid="{00000000-0010-0000-1700-000002000000}" name="Tipo"/>
    <tableColumn id="3" xr3:uid="{00000000-0010-0000-1700-000003000000}" name="Elementos" totalsRowFunction="sum"/>
    <tableColumn id="4" xr3:uid="{00000000-0010-0000-1700-000004000000}" name="Nome do Subcritério"/>
    <tableColumn id="5" xr3:uid="{00000000-0010-0000-1700-000005000000}" name="Total" totalsRowFunction="sum"/>
  </tableColumns>
  <tableStyleInfo name="TableStyleLight4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8000000}" name="Criteria_Summary13.2.25" displayName="Criteria_Summary13.2.25" ref="A7:E9" totalsRowCount="1" totalsRowCellStyle="styleRegular">
  <autoFilter ref="A7:E8" xr:uid="{00000000-0009-0000-0100-000019000000}"/>
  <tableColumns count="5">
    <tableColumn id="1" xr3:uid="{00000000-0010-0000-1800-000001000000}" name="Item"/>
    <tableColumn id="2" xr3:uid="{00000000-0010-0000-1800-000002000000}" name="Tipo"/>
    <tableColumn id="3" xr3:uid="{00000000-0010-0000-1800-000003000000}" name="Elementos" totalsRowFunction="sum"/>
    <tableColumn id="4" xr3:uid="{00000000-0010-0000-1800-000004000000}" name="Nome do Subcritério"/>
    <tableColumn id="5" xr3:uid="{00000000-0010-0000-1800-000005000000}" name="Total" totalsRowFunction="sum"/>
  </tableColumns>
  <tableStyleInfo name="TableStyleLight4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9000000}" name="Criteria_Summary13.2.26" displayName="Criteria_Summary13.2.26" ref="A7:E10" totalsRowCount="1" totalsRowCellStyle="styleRegular">
  <autoFilter ref="A7:E9" xr:uid="{00000000-0009-0000-0100-00001A000000}"/>
  <tableColumns count="5">
    <tableColumn id="1" xr3:uid="{00000000-0010-0000-1900-000001000000}" name="Item"/>
    <tableColumn id="2" xr3:uid="{00000000-0010-0000-1900-000002000000}" name="Tipo"/>
    <tableColumn id="3" xr3:uid="{00000000-0010-0000-1900-000003000000}" name="Elementos" totalsRowFunction="sum"/>
    <tableColumn id="4" xr3:uid="{00000000-0010-0000-1900-000004000000}" name="Nome do Subcritério"/>
    <tableColumn id="5" xr3:uid="{00000000-0010-0000-1900-000005000000}" name="Total" totalsRowFunction="sum"/>
  </tableColumns>
  <tableStyleInfo name="TableStyleLight4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A000000}" name="Criteria_Summary13.2.27" displayName="Criteria_Summary13.2.27" ref="A7:E9" totalsRowCount="1" totalsRowCellStyle="styleRegular">
  <autoFilter ref="A7:E8" xr:uid="{00000000-0009-0000-0100-00001B000000}"/>
  <tableColumns count="5">
    <tableColumn id="1" xr3:uid="{00000000-0010-0000-1A00-000001000000}" name="Item"/>
    <tableColumn id="2" xr3:uid="{00000000-0010-0000-1A00-000002000000}" name="Tipo"/>
    <tableColumn id="3" xr3:uid="{00000000-0010-0000-1A00-000003000000}" name="Elementos" totalsRowFunction="sum"/>
    <tableColumn id="4" xr3:uid="{00000000-0010-0000-1A00-000004000000}" name="Nome do Subcritério"/>
    <tableColumn id="5" xr3:uid="{00000000-0010-0000-1A00-000005000000}" name="Total" totalsRowFunction="sum"/>
  </tableColumns>
  <tableStyleInfo name="TableStyleLight4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B000000}" name="Criteria_Summary13.2.28" displayName="Criteria_Summary13.2.28" ref="A7:E9" totalsRowCount="1" totalsRowCellStyle="styleRegular">
  <autoFilter ref="A7:E8" xr:uid="{00000000-0009-0000-0100-00001C000000}"/>
  <tableColumns count="5">
    <tableColumn id="1" xr3:uid="{00000000-0010-0000-1B00-000001000000}" name="Item"/>
    <tableColumn id="2" xr3:uid="{00000000-0010-0000-1B00-000002000000}" name="Tipo"/>
    <tableColumn id="3" xr3:uid="{00000000-0010-0000-1B00-000003000000}" name="Elementos" totalsRowFunction="sum"/>
    <tableColumn id="4" xr3:uid="{00000000-0010-0000-1B00-000004000000}" name="Nome do Subcritério"/>
    <tableColumn id="5" xr3:uid="{00000000-0010-0000-1B00-000005000000}" name="Total" totalsRowFunction="sum"/>
  </tableColumns>
  <tableStyleInfo name="TableStyleLight4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C000000}" name="Criteria_Summary13.2.29" displayName="Criteria_Summary13.2.29" ref="A7:E9" totalsRowCount="1" totalsRowCellStyle="styleRegular">
  <autoFilter ref="A7:E8" xr:uid="{00000000-0009-0000-0100-00001D000000}"/>
  <tableColumns count="5">
    <tableColumn id="1" xr3:uid="{00000000-0010-0000-1C00-000001000000}" name="Item"/>
    <tableColumn id="2" xr3:uid="{00000000-0010-0000-1C00-000002000000}" name="Tipo"/>
    <tableColumn id="3" xr3:uid="{00000000-0010-0000-1C00-000003000000}" name="Elementos" totalsRowFunction="sum"/>
    <tableColumn id="4" xr3:uid="{00000000-0010-0000-1C00-000004000000}" name="Nome do Subcritério"/>
    <tableColumn id="5" xr3:uid="{00000000-0010-0000-1C00-000005000000}" name="Total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riteria_Summary13.2.3" displayName="Criteria_Summary13.2.3" ref="A7:E9" totalsRowCount="1" totalsRowCellStyle="styleRegular">
  <autoFilter ref="A7:E8" xr:uid="{00000000-0009-0000-0100-000003000000}"/>
  <tableColumns count="5">
    <tableColumn id="1" xr3:uid="{00000000-0010-0000-0200-000001000000}" name="Item"/>
    <tableColumn id="2" xr3:uid="{00000000-0010-0000-0200-000002000000}" name="Tipo"/>
    <tableColumn id="3" xr3:uid="{00000000-0010-0000-0200-000003000000}" name="Elementos" totalsRowFunction="sum"/>
    <tableColumn id="4" xr3:uid="{00000000-0010-0000-0200-000004000000}" name="Nome do Subcritério"/>
    <tableColumn id="5" xr3:uid="{00000000-0010-0000-0200-000005000000}" name="Total" totalsRowFunction="sum"/>
  </tableColumns>
  <tableStyleInfo name="TableStyleLight4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1D000000}" name="Criteria_Summary13.2.30" displayName="Criteria_Summary13.2.30" ref="A7:E9" totalsRowCount="1" totalsRowCellStyle="styleRegular">
  <autoFilter ref="A7:E8" xr:uid="{00000000-0009-0000-0100-00001E000000}"/>
  <tableColumns count="5">
    <tableColumn id="1" xr3:uid="{00000000-0010-0000-1D00-000001000000}" name="Item"/>
    <tableColumn id="2" xr3:uid="{00000000-0010-0000-1D00-000002000000}" name="Tipo"/>
    <tableColumn id="3" xr3:uid="{00000000-0010-0000-1D00-000003000000}" name="Elementos" totalsRowFunction="sum"/>
    <tableColumn id="4" xr3:uid="{00000000-0010-0000-1D00-000004000000}" name="Nome do Subcritério"/>
    <tableColumn id="5" xr3:uid="{00000000-0010-0000-1D00-000005000000}" name="Total" totalsRowFunction="sum"/>
  </tableColumns>
  <tableStyleInfo name="TableStyleLight4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E000000}" name="Criteria_Summary13.2.31" displayName="Criteria_Summary13.2.31" ref="A7:E9" totalsRowCount="1" totalsRowCellStyle="styleRegular">
  <autoFilter ref="A7:E8" xr:uid="{00000000-0009-0000-0100-00001F000000}"/>
  <tableColumns count="5">
    <tableColumn id="1" xr3:uid="{00000000-0010-0000-1E00-000001000000}" name="Item"/>
    <tableColumn id="2" xr3:uid="{00000000-0010-0000-1E00-000002000000}" name="Tipo"/>
    <tableColumn id="3" xr3:uid="{00000000-0010-0000-1E00-000003000000}" name="Elementos" totalsRowFunction="sum"/>
    <tableColumn id="4" xr3:uid="{00000000-0010-0000-1E00-000004000000}" name="Nome do Subcritério"/>
    <tableColumn id="5" xr3:uid="{00000000-0010-0000-1E00-000005000000}" name="Total" totalsRowFunction="sum"/>
  </tableColumns>
  <tableStyleInfo name="TableStyleLight4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1F000000}" name="Criteria_Summary13.2.32" displayName="Criteria_Summary13.2.32" ref="A7:E9" totalsRowCount="1" totalsRowCellStyle="styleRegular">
  <autoFilter ref="A7:E8" xr:uid="{00000000-0009-0000-0100-000020000000}"/>
  <tableColumns count="5">
    <tableColumn id="1" xr3:uid="{00000000-0010-0000-1F00-000001000000}" name="Item"/>
    <tableColumn id="2" xr3:uid="{00000000-0010-0000-1F00-000002000000}" name="Tipo"/>
    <tableColumn id="3" xr3:uid="{00000000-0010-0000-1F00-000003000000}" name="Elementos" totalsRowFunction="sum"/>
    <tableColumn id="4" xr3:uid="{00000000-0010-0000-1F00-000004000000}" name="Nome do Subcritério"/>
    <tableColumn id="5" xr3:uid="{00000000-0010-0000-1F00-000005000000}" name="Total" totalsRowFunction="sum"/>
  </tableColumns>
  <tableStyleInfo name="TableStyleLight4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20000000}" name="Criteria_Summary13.2.33" displayName="Criteria_Summary13.2.33" ref="A7:E9" totalsRowCount="1" totalsRowCellStyle="styleRegular">
  <autoFilter ref="A7:E8" xr:uid="{00000000-0009-0000-0100-000021000000}"/>
  <tableColumns count="5">
    <tableColumn id="1" xr3:uid="{00000000-0010-0000-2000-000001000000}" name="Item"/>
    <tableColumn id="2" xr3:uid="{00000000-0010-0000-2000-000002000000}" name="Tipo"/>
    <tableColumn id="3" xr3:uid="{00000000-0010-0000-2000-000003000000}" name="Elementos" totalsRowFunction="sum"/>
    <tableColumn id="4" xr3:uid="{00000000-0010-0000-2000-000004000000}" name="Nome do Subcritério"/>
    <tableColumn id="5" xr3:uid="{00000000-0010-0000-2000-000005000000}" name="Total" totalsRowFunction="sum"/>
  </tableColumns>
  <tableStyleInfo name="TableStyleLight4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21000000}" name="Criteria_Summary13.2.34" displayName="Criteria_Summary13.2.34" ref="A7:E9" totalsRowCount="1" totalsRowCellStyle="styleRegular">
  <autoFilter ref="A7:E8" xr:uid="{00000000-0009-0000-0100-000022000000}"/>
  <tableColumns count="5">
    <tableColumn id="1" xr3:uid="{00000000-0010-0000-2100-000001000000}" name="Item"/>
    <tableColumn id="2" xr3:uid="{00000000-0010-0000-2100-000002000000}" name="Tipo"/>
    <tableColumn id="3" xr3:uid="{00000000-0010-0000-2100-000003000000}" name="Elementos" totalsRowFunction="sum"/>
    <tableColumn id="4" xr3:uid="{00000000-0010-0000-2100-000004000000}" name="Nome do Subcritério"/>
    <tableColumn id="5" xr3:uid="{00000000-0010-0000-2100-000005000000}" name="Total" totalsRowFunction="sum"/>
  </tableColumns>
  <tableStyleInfo name="TableStyleLight4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22000000}" name="Criteria_Summary13.2.35" displayName="Criteria_Summary13.2.35" ref="A7:E9" totalsRowCount="1" totalsRowCellStyle="styleRegular">
  <autoFilter ref="A7:E8" xr:uid="{00000000-0009-0000-0100-000023000000}"/>
  <tableColumns count="5">
    <tableColumn id="1" xr3:uid="{00000000-0010-0000-2200-000001000000}" name="Item"/>
    <tableColumn id="2" xr3:uid="{00000000-0010-0000-2200-000002000000}" name="Tipo"/>
    <tableColumn id="3" xr3:uid="{00000000-0010-0000-2200-000003000000}" name="Elementos" totalsRowFunction="sum"/>
    <tableColumn id="4" xr3:uid="{00000000-0010-0000-2200-000004000000}" name="Nome do Subcritério"/>
    <tableColumn id="5" xr3:uid="{00000000-0010-0000-2200-000005000000}" name="Total" totalsRowFunction="sum"/>
  </tableColumns>
  <tableStyleInfo name="TableStyleLight4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23000000}" name="Criteria_Summary13.2.36" displayName="Criteria_Summary13.2.36" ref="A7:E9" totalsRowCount="1" totalsRowCellStyle="styleRegular">
  <autoFilter ref="A7:E8" xr:uid="{00000000-0009-0000-0100-000024000000}"/>
  <tableColumns count="5">
    <tableColumn id="1" xr3:uid="{00000000-0010-0000-2300-000001000000}" name="Item"/>
    <tableColumn id="2" xr3:uid="{00000000-0010-0000-2300-000002000000}" name="Tipo"/>
    <tableColumn id="3" xr3:uid="{00000000-0010-0000-2300-000003000000}" name="Elementos" totalsRowFunction="sum"/>
    <tableColumn id="4" xr3:uid="{00000000-0010-0000-2300-000004000000}" name="Nome do Subcritério"/>
    <tableColumn id="5" xr3:uid="{00000000-0010-0000-2300-000005000000}" name="Total" totalsRowFunction="sum"/>
  </tableColumns>
  <tableStyleInfo name="TableStyleLight4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24000000}" name="Criteria_Summary13.2.37" displayName="Criteria_Summary13.2.37" ref="A7:E9" totalsRowCount="1" totalsRowCellStyle="styleRegular">
  <autoFilter ref="A7:E8" xr:uid="{00000000-0009-0000-0100-000025000000}"/>
  <tableColumns count="5">
    <tableColumn id="1" xr3:uid="{00000000-0010-0000-2400-000001000000}" name="Item"/>
    <tableColumn id="2" xr3:uid="{00000000-0010-0000-2400-000002000000}" name="Tipo"/>
    <tableColumn id="3" xr3:uid="{00000000-0010-0000-2400-000003000000}" name="Elementos" totalsRowFunction="sum"/>
    <tableColumn id="4" xr3:uid="{00000000-0010-0000-2400-000004000000}" name="Nome do Subcritério"/>
    <tableColumn id="5" xr3:uid="{00000000-0010-0000-2400-000005000000}" name="Total" totalsRowFunction="sum"/>
  </tableColumns>
  <tableStyleInfo name="TableStyleLight4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25000000}" name="Criteria_Summary13.2.38" displayName="Criteria_Summary13.2.38" ref="A7:E9" totalsRowCount="1" totalsRowCellStyle="styleRegular">
  <autoFilter ref="A7:E8" xr:uid="{00000000-0009-0000-0100-000026000000}"/>
  <tableColumns count="5">
    <tableColumn id="1" xr3:uid="{00000000-0010-0000-2500-000001000000}" name="Item"/>
    <tableColumn id="2" xr3:uid="{00000000-0010-0000-2500-000002000000}" name="Tipo"/>
    <tableColumn id="3" xr3:uid="{00000000-0010-0000-2500-000003000000}" name="Elementos" totalsRowFunction="sum"/>
    <tableColumn id="4" xr3:uid="{00000000-0010-0000-2500-000004000000}" name="Nome do Subcritério"/>
    <tableColumn id="5" xr3:uid="{00000000-0010-0000-2500-000005000000}" name="Total" totalsRowFunction="sum"/>
  </tableColumns>
  <tableStyleInfo name="TableStyleLight4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0000000-000C-0000-FFFF-FFFF26000000}" name="Criteria_Summary13.2.39" displayName="Criteria_Summary13.2.39" ref="A7:E9" totalsRowCount="1" totalsRowCellStyle="styleRegular">
  <autoFilter ref="A7:E8" xr:uid="{00000000-0009-0000-0100-000027000000}"/>
  <tableColumns count="5">
    <tableColumn id="1" xr3:uid="{00000000-0010-0000-2600-000001000000}" name="Item"/>
    <tableColumn id="2" xr3:uid="{00000000-0010-0000-2600-000002000000}" name="Tipo"/>
    <tableColumn id="3" xr3:uid="{00000000-0010-0000-2600-000003000000}" name="Elementos" totalsRowFunction="sum"/>
    <tableColumn id="4" xr3:uid="{00000000-0010-0000-2600-000004000000}" name="Nome do Subcritério"/>
    <tableColumn id="5" xr3:uid="{00000000-0010-0000-2600-000005000000}" name="Total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riteria_Summary13.2.4" displayName="Criteria_Summary13.2.4" ref="A7:E9" totalsRowCount="1" totalsRowCellStyle="styleRegular">
  <autoFilter ref="A7:E8" xr:uid="{00000000-0009-0000-0100-000004000000}"/>
  <tableColumns count="5">
    <tableColumn id="1" xr3:uid="{00000000-0010-0000-0300-000001000000}" name="Item"/>
    <tableColumn id="2" xr3:uid="{00000000-0010-0000-0300-000002000000}" name="Tipo"/>
    <tableColumn id="3" xr3:uid="{00000000-0010-0000-0300-000003000000}" name="Elementos" totalsRowFunction="sum"/>
    <tableColumn id="4" xr3:uid="{00000000-0010-0000-0300-000004000000}" name="Nome do Subcritério"/>
    <tableColumn id="5" xr3:uid="{00000000-0010-0000-0300-000005000000}" name="Total" totalsRowFunction="sum"/>
  </tableColumns>
  <tableStyleInfo name="TableStyleLight4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0000000-000C-0000-FFFF-FFFF27000000}" name="Criteria_Summary13.2.40" displayName="Criteria_Summary13.2.40" ref="A7:E9" totalsRowCount="1" totalsRowCellStyle="styleRegular">
  <autoFilter ref="A7:E8" xr:uid="{00000000-0009-0000-0100-000028000000}"/>
  <tableColumns count="5">
    <tableColumn id="1" xr3:uid="{00000000-0010-0000-2700-000001000000}" name="Item"/>
    <tableColumn id="2" xr3:uid="{00000000-0010-0000-2700-000002000000}" name="Tipo"/>
    <tableColumn id="3" xr3:uid="{00000000-0010-0000-2700-000003000000}" name="Elementos" totalsRowFunction="sum"/>
    <tableColumn id="4" xr3:uid="{00000000-0010-0000-2700-000004000000}" name="Nome do Subcritério"/>
    <tableColumn id="5" xr3:uid="{00000000-0010-0000-2700-000005000000}" name="Total" totalsRowFunction="sum"/>
  </tableColumns>
  <tableStyleInfo name="TableStyleLight4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0000000-000C-0000-FFFF-FFFF28000000}" name="Criteria_Summary13.2.41" displayName="Criteria_Summary13.2.41" ref="A7:E9" totalsRowCount="1" totalsRowCellStyle="styleRegular">
  <autoFilter ref="A7:E8" xr:uid="{00000000-0009-0000-0100-000029000000}"/>
  <tableColumns count="5">
    <tableColumn id="1" xr3:uid="{00000000-0010-0000-2800-000001000000}" name="Item"/>
    <tableColumn id="2" xr3:uid="{00000000-0010-0000-2800-000002000000}" name="Tipo"/>
    <tableColumn id="3" xr3:uid="{00000000-0010-0000-2800-000003000000}" name="Elementos" totalsRowFunction="sum"/>
    <tableColumn id="4" xr3:uid="{00000000-0010-0000-2800-000004000000}" name="Nome do Subcritério"/>
    <tableColumn id="5" xr3:uid="{00000000-0010-0000-2800-000005000000}" name="Total" totalsRowFunction="sum"/>
  </tableColumns>
  <tableStyleInfo name="TableStyleLight4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00000000-000C-0000-FFFF-FFFF29000000}" name="Criteria_Summary13.2.42" displayName="Criteria_Summary13.2.42" ref="A7:E9" totalsRowCount="1" totalsRowCellStyle="styleRegular">
  <autoFilter ref="A7:E8" xr:uid="{00000000-0009-0000-0100-00002A000000}"/>
  <tableColumns count="5">
    <tableColumn id="1" xr3:uid="{00000000-0010-0000-2900-000001000000}" name="Item"/>
    <tableColumn id="2" xr3:uid="{00000000-0010-0000-2900-000002000000}" name="Tipo"/>
    <tableColumn id="3" xr3:uid="{00000000-0010-0000-2900-000003000000}" name="Elementos" totalsRowFunction="sum"/>
    <tableColumn id="4" xr3:uid="{00000000-0010-0000-2900-000004000000}" name="Nome do Subcritério"/>
    <tableColumn id="5" xr3:uid="{00000000-0010-0000-2900-000005000000}" name="Total" totalsRowFunction="sum"/>
  </tableColumns>
  <tableStyleInfo name="TableStyleLight4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00000000-000C-0000-FFFF-FFFF2A000000}" name="Criteria_Summary13.2.43" displayName="Criteria_Summary13.2.43" ref="A7:E9" totalsRowCount="1" totalsRowCellStyle="styleRegular">
  <autoFilter ref="A7:E8" xr:uid="{00000000-0009-0000-0100-00002B000000}"/>
  <tableColumns count="5">
    <tableColumn id="1" xr3:uid="{00000000-0010-0000-2A00-000001000000}" name="Item"/>
    <tableColumn id="2" xr3:uid="{00000000-0010-0000-2A00-000002000000}" name="Tipo"/>
    <tableColumn id="3" xr3:uid="{00000000-0010-0000-2A00-000003000000}" name="Elementos" totalsRowFunction="sum"/>
    <tableColumn id="4" xr3:uid="{00000000-0010-0000-2A00-000004000000}" name="Nome do Subcritério"/>
    <tableColumn id="5" xr3:uid="{00000000-0010-0000-2A00-000005000000}" name="Total" totalsRowFunction="sum"/>
  </tableColumns>
  <tableStyleInfo name="TableStyleLight4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00000000-000C-0000-FFFF-FFFF2B000000}" name="Criteria_Summary13.2.44" displayName="Criteria_Summary13.2.44" ref="A7:E9" totalsRowCount="1" totalsRowCellStyle="styleRegular">
  <autoFilter ref="A7:E8" xr:uid="{00000000-0009-0000-0100-00002C000000}"/>
  <tableColumns count="5">
    <tableColumn id="1" xr3:uid="{00000000-0010-0000-2B00-000001000000}" name="Item"/>
    <tableColumn id="2" xr3:uid="{00000000-0010-0000-2B00-000002000000}" name="Tipo"/>
    <tableColumn id="3" xr3:uid="{00000000-0010-0000-2B00-000003000000}" name="Elementos" totalsRowFunction="sum"/>
    <tableColumn id="4" xr3:uid="{00000000-0010-0000-2B00-000004000000}" name="Nome do Subcritério"/>
    <tableColumn id="5" xr3:uid="{00000000-0010-0000-2B00-000005000000}" name="Total" totalsRowFunction="sum"/>
  </tableColumns>
  <tableStyleInfo name="TableStyleLight4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00000000-000C-0000-FFFF-FFFF2C000000}" name="Criteria_Summary13.2.45" displayName="Criteria_Summary13.2.45" ref="A7:E9" totalsRowCount="1" totalsRowCellStyle="styleRegular">
  <autoFilter ref="A7:E8" xr:uid="{00000000-0009-0000-0100-00002D000000}"/>
  <tableColumns count="5">
    <tableColumn id="1" xr3:uid="{00000000-0010-0000-2C00-000001000000}" name="Item"/>
    <tableColumn id="2" xr3:uid="{00000000-0010-0000-2C00-000002000000}" name="Tipo"/>
    <tableColumn id="3" xr3:uid="{00000000-0010-0000-2C00-000003000000}" name="Elementos" totalsRowFunction="sum"/>
    <tableColumn id="4" xr3:uid="{00000000-0010-0000-2C00-000004000000}" name="Nome do Subcritério"/>
    <tableColumn id="5" xr3:uid="{00000000-0010-0000-2C00-000005000000}" name="Total" totalsRowFunction="sum"/>
  </tableColumns>
  <tableStyleInfo name="TableStyleLight4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00000000-000C-0000-FFFF-FFFF2D000000}" name="Criteria_Summary13.2.46" displayName="Criteria_Summary13.2.46" ref="A7:E9" totalsRowCount="1" totalsRowCellStyle="styleRegular">
  <autoFilter ref="A7:E8" xr:uid="{00000000-0009-0000-0100-00002E000000}"/>
  <tableColumns count="5">
    <tableColumn id="1" xr3:uid="{00000000-0010-0000-2D00-000001000000}" name="Item"/>
    <tableColumn id="2" xr3:uid="{00000000-0010-0000-2D00-000002000000}" name="Tipo"/>
    <tableColumn id="3" xr3:uid="{00000000-0010-0000-2D00-000003000000}" name="Elementos" totalsRowFunction="sum"/>
    <tableColumn id="4" xr3:uid="{00000000-0010-0000-2D00-000004000000}" name="Nome do Subcritério"/>
    <tableColumn id="5" xr3:uid="{00000000-0010-0000-2D00-000005000000}" name="Total" totalsRowFunction="sum"/>
  </tableColumns>
  <tableStyleInfo name="TableStyleLight4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00000000-000C-0000-FFFF-FFFF2E000000}" name="Criteria_Summary13.2.47" displayName="Criteria_Summary13.2.47" ref="A7:E9" totalsRowCount="1" totalsRowCellStyle="styleRegular">
  <autoFilter ref="A7:E8" xr:uid="{00000000-0009-0000-0100-00002F000000}"/>
  <tableColumns count="5">
    <tableColumn id="1" xr3:uid="{00000000-0010-0000-2E00-000001000000}" name="Item"/>
    <tableColumn id="2" xr3:uid="{00000000-0010-0000-2E00-000002000000}" name="Tipo"/>
    <tableColumn id="3" xr3:uid="{00000000-0010-0000-2E00-000003000000}" name="Elementos" totalsRowFunction="sum"/>
    <tableColumn id="4" xr3:uid="{00000000-0010-0000-2E00-000004000000}" name="Nome do Subcritério"/>
    <tableColumn id="5" xr3:uid="{00000000-0010-0000-2E00-000005000000}" name="Total" totalsRowFunction="sum"/>
  </tableColumns>
  <tableStyleInfo name="TableStyleLight4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00000000-000C-0000-FFFF-FFFF2F000000}" name="Criteria_Summary13.2.48" displayName="Criteria_Summary13.2.48" ref="A7:E9" totalsRowCount="1" totalsRowCellStyle="styleRegular">
  <autoFilter ref="A7:E8" xr:uid="{00000000-0009-0000-0100-000030000000}"/>
  <tableColumns count="5">
    <tableColumn id="1" xr3:uid="{00000000-0010-0000-2F00-000001000000}" name="Item"/>
    <tableColumn id="2" xr3:uid="{00000000-0010-0000-2F00-000002000000}" name="Tipo"/>
    <tableColumn id="3" xr3:uid="{00000000-0010-0000-2F00-000003000000}" name="Elementos" totalsRowFunction="sum"/>
    <tableColumn id="4" xr3:uid="{00000000-0010-0000-2F00-000004000000}" name="Nome do Subcritério"/>
    <tableColumn id="5" xr3:uid="{00000000-0010-0000-2F00-000005000000}" name="Total" totalsRowFunction="sum"/>
  </tableColumns>
  <tableStyleInfo name="TableStyleLight4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00000000-000C-0000-FFFF-FFFF30000000}" name="Criteria_Summary13.2.49" displayName="Criteria_Summary13.2.49" ref="A7:E9" totalsRowCount="1" totalsRowCellStyle="styleRegular">
  <autoFilter ref="A7:E8" xr:uid="{00000000-0009-0000-0100-000031000000}"/>
  <tableColumns count="5">
    <tableColumn id="1" xr3:uid="{00000000-0010-0000-3000-000001000000}" name="Item"/>
    <tableColumn id="2" xr3:uid="{00000000-0010-0000-3000-000002000000}" name="Tipo"/>
    <tableColumn id="3" xr3:uid="{00000000-0010-0000-3000-000003000000}" name="Elementos" totalsRowFunction="sum"/>
    <tableColumn id="4" xr3:uid="{00000000-0010-0000-3000-000004000000}" name="Nome do Subcritério"/>
    <tableColumn id="5" xr3:uid="{00000000-0010-0000-3000-000005000000}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riteria_Summary13.2.5" displayName="Criteria_Summary13.2.5" ref="A7:E9" totalsRowCount="1" totalsRowCellStyle="styleRegular">
  <autoFilter ref="A7:E8" xr:uid="{00000000-0009-0000-0100-000005000000}"/>
  <tableColumns count="5">
    <tableColumn id="1" xr3:uid="{00000000-0010-0000-0400-000001000000}" name="Item"/>
    <tableColumn id="2" xr3:uid="{00000000-0010-0000-0400-000002000000}" name="Tipo"/>
    <tableColumn id="3" xr3:uid="{00000000-0010-0000-0400-000003000000}" name="Elementos" totalsRowFunction="sum"/>
    <tableColumn id="4" xr3:uid="{00000000-0010-0000-0400-000004000000}" name="Nome do Subcritério"/>
    <tableColumn id="5" xr3:uid="{00000000-0010-0000-0400-000005000000}" name="Total" totalsRowFunction="sum"/>
  </tableColumns>
  <tableStyleInfo name="TableStyleLight4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00000000-000C-0000-FFFF-FFFF31000000}" name="Criteria_Summary13.2.50" displayName="Criteria_Summary13.2.50" ref="A7:E9" totalsRowCount="1" totalsRowCellStyle="styleRegular">
  <autoFilter ref="A7:E8" xr:uid="{00000000-0009-0000-0100-000032000000}"/>
  <tableColumns count="5">
    <tableColumn id="1" xr3:uid="{00000000-0010-0000-3100-000001000000}" name="Item"/>
    <tableColumn id="2" xr3:uid="{00000000-0010-0000-3100-000002000000}" name="Tipo"/>
    <tableColumn id="3" xr3:uid="{00000000-0010-0000-3100-000003000000}" name="Elementos" totalsRowFunction="sum"/>
    <tableColumn id="4" xr3:uid="{00000000-0010-0000-3100-000004000000}" name="Nome do Subcritério"/>
    <tableColumn id="5" xr3:uid="{00000000-0010-0000-3100-000005000000}" name="Total" totalsRowFunction="sum"/>
  </tableColumns>
  <tableStyleInfo name="TableStyleLight4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00000000-000C-0000-FFFF-FFFF32000000}" name="Elements13211" displayName="Elements13211" ref="A6:E13" totalsRowCount="1" totalsRowCellStyle="styleRegular">
  <autoFilter ref="A6:E12" xr:uid="{00000000-0009-0000-0100-000033000000}"/>
  <tableColumns count="5">
    <tableColumn id="1" xr3:uid="{00000000-0010-0000-3200-000001000000}" name="Projeto"/>
    <tableColumn id="2" xr3:uid="{00000000-0010-0000-3200-000002000000}" name="Vínculo"/>
    <tableColumn id="3" xr3:uid="{00000000-0010-0000-3200-000003000000}" name="Elemento" totalsRowFunction="count"/>
    <tableColumn id="4" xr3:uid="{00000000-0010-0000-3200-000004000000}" name="Id do Revit"/>
    <tableColumn id="5" xr3:uid="{00000000-0010-0000-3200-000005000000}" name="Totais:" totalsRowFunction="sum"/>
  </tableColumns>
  <tableStyleInfo name="TableStyleLight4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00000000-000C-0000-FFFF-FFFF33000000}" name="Elements13221" displayName="Elements13221" ref="A6:E35" totalsRowCount="1" totalsRowCellStyle="styleRegular">
  <autoFilter ref="A6:E34" xr:uid="{00000000-0009-0000-0100-000034000000}"/>
  <tableColumns count="5">
    <tableColumn id="1" xr3:uid="{00000000-0010-0000-3300-000001000000}" name="Projeto"/>
    <tableColumn id="2" xr3:uid="{00000000-0010-0000-3300-000002000000}" name="Vínculo"/>
    <tableColumn id="3" xr3:uid="{00000000-0010-0000-3300-000003000000}" name="Elemento" totalsRowFunction="count"/>
    <tableColumn id="4" xr3:uid="{00000000-0010-0000-3300-000004000000}" name="Id do Revit"/>
    <tableColumn id="5" xr3:uid="{00000000-0010-0000-3300-000005000000}" name="Totais:" totalsRowFunction="sum"/>
  </tableColumns>
  <tableStyleInfo name="TableStyleLight4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00000000-000C-0000-FFFF-FFFF34000000}" name="Elements13231" displayName="Elements13231" ref="A6:E10" totalsRowCount="1" totalsRowCellStyle="styleRegular">
  <autoFilter ref="A6:E9" xr:uid="{00000000-0009-0000-0100-000035000000}"/>
  <tableColumns count="5">
    <tableColumn id="1" xr3:uid="{00000000-0010-0000-3400-000001000000}" name="Projeto"/>
    <tableColumn id="2" xr3:uid="{00000000-0010-0000-3400-000002000000}" name="Vínculo"/>
    <tableColumn id="3" xr3:uid="{00000000-0010-0000-3400-000003000000}" name="Elemento" totalsRowFunction="count"/>
    <tableColumn id="4" xr3:uid="{00000000-0010-0000-3400-000004000000}" name="Id do Revit"/>
    <tableColumn id="5" xr3:uid="{00000000-0010-0000-3400-000005000000}" name="Totais:" totalsRowFunction="sum"/>
  </tableColumns>
  <tableStyleInfo name="TableStyleLight4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00000000-000C-0000-FFFF-FFFF35000000}" name="Elements13241" displayName="Elements13241" ref="A6:E15" totalsRowCount="1" totalsRowCellStyle="styleRegular">
  <autoFilter ref="A6:E14" xr:uid="{00000000-0009-0000-0100-000036000000}"/>
  <tableColumns count="5">
    <tableColumn id="1" xr3:uid="{00000000-0010-0000-3500-000001000000}" name="Projeto"/>
    <tableColumn id="2" xr3:uid="{00000000-0010-0000-3500-000002000000}" name="Vínculo"/>
    <tableColumn id="3" xr3:uid="{00000000-0010-0000-3500-000003000000}" name="Elemento" totalsRowFunction="count"/>
    <tableColumn id="4" xr3:uid="{00000000-0010-0000-3500-000004000000}" name="Id do Revit"/>
    <tableColumn id="5" xr3:uid="{00000000-0010-0000-3500-000005000000}" name="Totais:" totalsRowFunction="sum"/>
  </tableColumns>
  <tableStyleInfo name="TableStyleLight4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00000000-000C-0000-FFFF-FFFF36000000}" name="Elements13251" displayName="Elements13251" ref="A6:E10" totalsRowCount="1" totalsRowCellStyle="styleRegular">
  <autoFilter ref="A6:E9" xr:uid="{00000000-0009-0000-0100-000037000000}"/>
  <tableColumns count="5">
    <tableColumn id="1" xr3:uid="{00000000-0010-0000-3600-000001000000}" name="Projeto"/>
    <tableColumn id="2" xr3:uid="{00000000-0010-0000-3600-000002000000}" name="Vínculo"/>
    <tableColumn id="3" xr3:uid="{00000000-0010-0000-3600-000003000000}" name="Elemento" totalsRowFunction="count"/>
    <tableColumn id="4" xr3:uid="{00000000-0010-0000-3600-000004000000}" name="Id do Revit"/>
    <tableColumn id="5" xr3:uid="{00000000-0010-0000-3600-000005000000}" name="Totais:" totalsRowFunction="sum"/>
  </tableColumns>
  <tableStyleInfo name="TableStyleLight4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00000000-000C-0000-FFFF-FFFF37000000}" name="Elements13261" displayName="Elements13261" ref="A6:E132" totalsRowCount="1" totalsRowCellStyle="styleRegular">
  <autoFilter ref="A6:E131" xr:uid="{00000000-0009-0000-0100-000038000000}"/>
  <tableColumns count="5">
    <tableColumn id="1" xr3:uid="{00000000-0010-0000-3700-000001000000}" name="Projeto"/>
    <tableColumn id="2" xr3:uid="{00000000-0010-0000-3700-000002000000}" name="Vínculo"/>
    <tableColumn id="3" xr3:uid="{00000000-0010-0000-3700-000003000000}" name="Elemento" totalsRowFunction="count"/>
    <tableColumn id="4" xr3:uid="{00000000-0010-0000-3700-000004000000}" name="Id do Revit"/>
    <tableColumn id="5" xr3:uid="{00000000-0010-0000-3700-000005000000}" name="Totais:" totalsRowFunction="sum"/>
  </tableColumns>
  <tableStyleInfo name="TableStyleLight4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00000000-000C-0000-FFFF-FFFF38000000}" name="Elements13271" displayName="Elements13271" ref="A6:E8" totalsRowCount="1" totalsRowCellStyle="styleRegular">
  <autoFilter ref="A6:E7" xr:uid="{00000000-0009-0000-0100-000039000000}"/>
  <tableColumns count="5">
    <tableColumn id="1" xr3:uid="{00000000-0010-0000-3800-000001000000}" name="Projeto"/>
    <tableColumn id="2" xr3:uid="{00000000-0010-0000-3800-000002000000}" name="Vínculo"/>
    <tableColumn id="3" xr3:uid="{00000000-0010-0000-3800-000003000000}" name="Elemento" totalsRowFunction="count"/>
    <tableColumn id="4" xr3:uid="{00000000-0010-0000-3800-000004000000}" name="Id do Revit"/>
    <tableColumn id="5" xr3:uid="{00000000-0010-0000-3800-000005000000}" name="Totais:" totalsRowFunction="sum"/>
  </tableColumns>
  <tableStyleInfo name="TableStyleLight4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00000000-000C-0000-FFFF-FFFF39000000}" name="Elements13281" displayName="Elements13281" ref="A6:E65" totalsRowCount="1" totalsRowCellStyle="styleRegular">
  <autoFilter ref="A6:E64" xr:uid="{00000000-0009-0000-0100-00003A000000}"/>
  <tableColumns count="5">
    <tableColumn id="1" xr3:uid="{00000000-0010-0000-3900-000001000000}" name="Projeto"/>
    <tableColumn id="2" xr3:uid="{00000000-0010-0000-3900-000002000000}" name="Vínculo"/>
    <tableColumn id="3" xr3:uid="{00000000-0010-0000-3900-000003000000}" name="Elemento" totalsRowFunction="count"/>
    <tableColumn id="4" xr3:uid="{00000000-0010-0000-3900-000004000000}" name="Id do Revit"/>
    <tableColumn id="5" xr3:uid="{00000000-0010-0000-3900-000005000000}" name="Totais:" totalsRowFunction="sum"/>
  </tableColumns>
  <tableStyleInfo name="TableStyleLight4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00000000-000C-0000-FFFF-FFFF3A000000}" name="Elements13291" displayName="Elements13291" ref="A6:E13" totalsRowCount="1" totalsRowCellStyle="styleRegular">
  <autoFilter ref="A6:E12" xr:uid="{00000000-0009-0000-0100-00003B000000}"/>
  <tableColumns count="5">
    <tableColumn id="1" xr3:uid="{00000000-0010-0000-3A00-000001000000}" name="Projeto"/>
    <tableColumn id="2" xr3:uid="{00000000-0010-0000-3A00-000002000000}" name="Vínculo"/>
    <tableColumn id="3" xr3:uid="{00000000-0010-0000-3A00-000003000000}" name="Elemento" totalsRowFunction="count"/>
    <tableColumn id="4" xr3:uid="{00000000-0010-0000-3A00-000004000000}" name="Id do Revit"/>
    <tableColumn id="5" xr3:uid="{00000000-0010-0000-3A00-000005000000}" name="Totais: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Criteria_Summary13.2.6" displayName="Criteria_Summary13.2.6" ref="A7:E9" totalsRowCount="1" totalsRowCellStyle="styleRegular">
  <autoFilter ref="A7:E8" xr:uid="{00000000-0009-0000-0100-000006000000}"/>
  <tableColumns count="5">
    <tableColumn id="1" xr3:uid="{00000000-0010-0000-0500-000001000000}" name="Item"/>
    <tableColumn id="2" xr3:uid="{00000000-0010-0000-0500-000002000000}" name="Tipo"/>
    <tableColumn id="3" xr3:uid="{00000000-0010-0000-0500-000003000000}" name="Elementos" totalsRowFunction="sum"/>
    <tableColumn id="4" xr3:uid="{00000000-0010-0000-0500-000004000000}" name="Nome do Subcritério"/>
    <tableColumn id="5" xr3:uid="{00000000-0010-0000-0500-000005000000}" name="Total" totalsRowFunction="sum"/>
  </tableColumns>
  <tableStyleInfo name="TableStyleLight4" showFirstColumn="0" showLastColumn="0" showRowStripes="1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00000000-000C-0000-FFFF-FFFF3B000000}" name="Elements132101" displayName="Elements132101" ref="A6:E13" totalsRowCount="1" totalsRowCellStyle="styleRegular">
  <autoFilter ref="A6:E12" xr:uid="{00000000-0009-0000-0100-00003C000000}"/>
  <tableColumns count="5">
    <tableColumn id="1" xr3:uid="{00000000-0010-0000-3B00-000001000000}" name="Projeto"/>
    <tableColumn id="2" xr3:uid="{00000000-0010-0000-3B00-000002000000}" name="Vínculo"/>
    <tableColumn id="3" xr3:uid="{00000000-0010-0000-3B00-000003000000}" name="Elemento" totalsRowFunction="count"/>
    <tableColumn id="4" xr3:uid="{00000000-0010-0000-3B00-000004000000}" name="Id do Revit"/>
    <tableColumn id="5" xr3:uid="{00000000-0010-0000-3B00-000005000000}" name="Totais:" totalsRowFunction="sum"/>
  </tableColumns>
  <tableStyleInfo name="TableStyleLight4" showFirstColumn="0" showLastColumn="0" showRowStripes="1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00000000-000C-0000-FFFF-FFFF3C000000}" name="Elements132111" displayName="Elements132111" ref="A6:E28" totalsRowCount="1" totalsRowCellStyle="styleRegular">
  <autoFilter ref="A6:E27" xr:uid="{00000000-0009-0000-0100-00003D000000}"/>
  <tableColumns count="5">
    <tableColumn id="1" xr3:uid="{00000000-0010-0000-3C00-000001000000}" name="Projeto"/>
    <tableColumn id="2" xr3:uid="{00000000-0010-0000-3C00-000002000000}" name="Vínculo"/>
    <tableColumn id="3" xr3:uid="{00000000-0010-0000-3C00-000003000000}" name="Elemento" totalsRowFunction="count"/>
    <tableColumn id="4" xr3:uid="{00000000-0010-0000-3C00-000004000000}" name="Id do Revit"/>
    <tableColumn id="5" xr3:uid="{00000000-0010-0000-3C00-000005000000}" name="Totais:" totalsRowFunction="sum"/>
  </tableColumns>
  <tableStyleInfo name="TableStyleLight4" showFirstColumn="0" showLastColumn="0" showRowStripes="1" showColumnStripes="0"/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2" xr:uid="{00000000-000C-0000-FFFF-FFFF3D000000}" name="Elements132112" displayName="Elements132112" ref="A36:E45" totalsRowCount="1" totalsRowCellStyle="styleRegular">
  <autoFilter ref="A36:E44" xr:uid="{00000000-0009-0000-0100-00003E000000}"/>
  <tableColumns count="5">
    <tableColumn id="1" xr3:uid="{00000000-0010-0000-3D00-000001000000}" name="Projeto"/>
    <tableColumn id="2" xr3:uid="{00000000-0010-0000-3D00-000002000000}" name="Vínculo"/>
    <tableColumn id="3" xr3:uid="{00000000-0010-0000-3D00-000003000000}" name="Elemento" totalsRowFunction="count"/>
    <tableColumn id="4" xr3:uid="{00000000-0010-0000-3D00-000004000000}" name="Id do Revit"/>
    <tableColumn id="5" xr3:uid="{00000000-0010-0000-3D00-000005000000}" name="Totais:" totalsRowFunction="sum"/>
  </tableColumns>
  <tableStyleInfo name="TableStyleLight4" showFirstColumn="0" showLastColumn="0" showRowStripes="1" showColumnStripes="0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00000000-000C-0000-FFFF-FFFF3E000000}" name="Elements132121" displayName="Elements132121" ref="A6:E17" totalsRowCount="1" totalsRowCellStyle="styleRegular">
  <autoFilter ref="A6:E16" xr:uid="{00000000-0009-0000-0100-00003F000000}"/>
  <tableColumns count="5">
    <tableColumn id="1" xr3:uid="{00000000-0010-0000-3E00-000001000000}" name="Projeto"/>
    <tableColumn id="2" xr3:uid="{00000000-0010-0000-3E00-000002000000}" name="Vínculo"/>
    <tableColumn id="3" xr3:uid="{00000000-0010-0000-3E00-000003000000}" name="Elemento" totalsRowFunction="count"/>
    <tableColumn id="4" xr3:uid="{00000000-0010-0000-3E00-000004000000}" name="Id do Revit"/>
    <tableColumn id="5" xr3:uid="{00000000-0010-0000-3E00-000005000000}" name="Totais:" totalsRowFunction="sum"/>
  </tableColumns>
  <tableStyleInfo name="TableStyleLight4" showFirstColumn="0" showLastColumn="0" showRowStripes="1" showColumnStripes="0"/>
</table>
</file>

<file path=xl/tables/table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00000000-000C-0000-FFFF-FFFF3F000000}" name="Elements132122" displayName="Elements132122" ref="A25:E34" totalsRowCount="1" totalsRowCellStyle="styleRegular">
  <autoFilter ref="A25:E33" xr:uid="{00000000-0009-0000-0100-000040000000}"/>
  <tableColumns count="5">
    <tableColumn id="1" xr3:uid="{00000000-0010-0000-3F00-000001000000}" name="Projeto"/>
    <tableColumn id="2" xr3:uid="{00000000-0010-0000-3F00-000002000000}" name="Vínculo"/>
    <tableColumn id="3" xr3:uid="{00000000-0010-0000-3F00-000003000000}" name="Elemento" totalsRowFunction="count"/>
    <tableColumn id="4" xr3:uid="{00000000-0010-0000-3F00-000004000000}" name="Id do Revit"/>
    <tableColumn id="5" xr3:uid="{00000000-0010-0000-3F00-000005000000}" name="Totais:" totalsRowFunction="sum"/>
  </tableColumns>
  <tableStyleInfo name="TableStyleLight4" showFirstColumn="0" showLastColumn="0" showRowStripes="1" showColumnStripes="0"/>
</table>
</file>

<file path=xl/tables/table6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00000000-000C-0000-FFFF-FFFF40000000}" name="Elements132131" displayName="Elements132131" ref="A6:E58" totalsRowCount="1" totalsRowCellStyle="styleRegular">
  <autoFilter ref="A6:E57" xr:uid="{00000000-0009-0000-0100-000041000000}"/>
  <tableColumns count="5">
    <tableColumn id="1" xr3:uid="{00000000-0010-0000-4000-000001000000}" name="Projeto"/>
    <tableColumn id="2" xr3:uid="{00000000-0010-0000-4000-000002000000}" name="Vínculo"/>
    <tableColumn id="3" xr3:uid="{00000000-0010-0000-4000-000003000000}" name="Elemento" totalsRowFunction="count"/>
    <tableColumn id="4" xr3:uid="{00000000-0010-0000-4000-000004000000}" name="Id do Revit"/>
    <tableColumn id="5" xr3:uid="{00000000-0010-0000-4000-000005000000}" name="Totais:" totalsRowFunction="sum"/>
  </tableColumns>
  <tableStyleInfo name="TableStyleLight4" showFirstColumn="0" showLastColumn="0" showRowStripes="1" showColumnStripes="0"/>
</table>
</file>

<file path=xl/tables/table6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00000000-000C-0000-FFFF-FFFF41000000}" name="Elements132141" displayName="Elements132141" ref="A6:E23" totalsRowCount="1" totalsRowCellStyle="styleRegular">
  <autoFilter ref="A6:E22" xr:uid="{00000000-0009-0000-0100-000042000000}"/>
  <tableColumns count="5">
    <tableColumn id="1" xr3:uid="{00000000-0010-0000-4100-000001000000}" name="Projeto"/>
    <tableColumn id="2" xr3:uid="{00000000-0010-0000-4100-000002000000}" name="Vínculo"/>
    <tableColumn id="3" xr3:uid="{00000000-0010-0000-4100-000003000000}" name="Elemento" totalsRowFunction="count"/>
    <tableColumn id="4" xr3:uid="{00000000-0010-0000-4100-000004000000}" name="Id do Revit"/>
    <tableColumn id="5" xr3:uid="{00000000-0010-0000-4100-000005000000}" name="Totais:" totalsRowFunction="sum"/>
  </tableColumns>
  <tableStyleInfo name="TableStyleLight4" showFirstColumn="0" showLastColumn="0" showRowStripes="1" showColumnStripes="0"/>
</table>
</file>

<file path=xl/tables/table6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00000000-000C-0000-FFFF-FFFF42000000}" name="Elements132151" displayName="Elements132151" ref="A6:E50" totalsRowCount="1" totalsRowCellStyle="styleRegular">
  <autoFilter ref="A6:E49" xr:uid="{00000000-0009-0000-0100-000043000000}"/>
  <tableColumns count="5">
    <tableColumn id="1" xr3:uid="{00000000-0010-0000-4200-000001000000}" name="Projeto"/>
    <tableColumn id="2" xr3:uid="{00000000-0010-0000-4200-000002000000}" name="Vínculo"/>
    <tableColumn id="3" xr3:uid="{00000000-0010-0000-4200-000003000000}" name="Elemento" totalsRowFunction="count"/>
    <tableColumn id="4" xr3:uid="{00000000-0010-0000-4200-000004000000}" name="Id do Revit"/>
    <tableColumn id="5" xr3:uid="{00000000-0010-0000-4200-000005000000}" name="Totais:" totalsRowFunction="sum"/>
  </tableColumns>
  <tableStyleInfo name="TableStyleLight4" showFirstColumn="0" showLastColumn="0" showRowStripes="1" showColumnStripes="0"/>
</table>
</file>

<file path=xl/tables/table6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00000000-000C-0000-FFFF-FFFF43000000}" name="Elements132161" displayName="Elements132161" ref="A6:E40" totalsRowCount="1" totalsRowCellStyle="styleRegular">
  <autoFilter ref="A6:E39" xr:uid="{00000000-0009-0000-0100-000044000000}"/>
  <tableColumns count="5">
    <tableColumn id="1" xr3:uid="{00000000-0010-0000-4300-000001000000}" name="Projeto"/>
    <tableColumn id="2" xr3:uid="{00000000-0010-0000-4300-000002000000}" name="Vínculo"/>
    <tableColumn id="3" xr3:uid="{00000000-0010-0000-4300-000003000000}" name="Elemento" totalsRowFunction="count"/>
    <tableColumn id="4" xr3:uid="{00000000-0010-0000-4300-000004000000}" name="Id do Revit"/>
    <tableColumn id="5" xr3:uid="{00000000-0010-0000-4300-000005000000}" name="Totais:" totalsRowFunction="sum"/>
  </tableColumns>
  <tableStyleInfo name="TableStyleLight4" showFirstColumn="0" showLastColumn="0" showRowStripes="1" showColumnStripes="0"/>
</table>
</file>

<file path=xl/tables/table6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9" xr:uid="{00000000-000C-0000-FFFF-FFFF44000000}" name="Elements132171" displayName="Elements132171" ref="A6:E60" totalsRowCount="1" totalsRowCellStyle="styleRegular">
  <autoFilter ref="A6:E59" xr:uid="{00000000-0009-0000-0100-000045000000}"/>
  <tableColumns count="5">
    <tableColumn id="1" xr3:uid="{00000000-0010-0000-4400-000001000000}" name="Projeto"/>
    <tableColumn id="2" xr3:uid="{00000000-0010-0000-4400-000002000000}" name="Vínculo"/>
    <tableColumn id="3" xr3:uid="{00000000-0010-0000-4400-000003000000}" name="Elemento" totalsRowFunction="count"/>
    <tableColumn id="4" xr3:uid="{00000000-0010-0000-4400-000004000000}" name="Id do Revit"/>
    <tableColumn id="5" xr3:uid="{00000000-0010-0000-4400-000005000000}" name="Totais: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Criteria_Summary13.2.7" displayName="Criteria_Summary13.2.7" ref="A7:E9" totalsRowCount="1" totalsRowCellStyle="styleRegular">
  <autoFilter ref="A7:E8" xr:uid="{00000000-0009-0000-0100-000007000000}"/>
  <tableColumns count="5">
    <tableColumn id="1" xr3:uid="{00000000-0010-0000-0600-000001000000}" name="Item"/>
    <tableColumn id="2" xr3:uid="{00000000-0010-0000-0600-000002000000}" name="Tipo"/>
    <tableColumn id="3" xr3:uid="{00000000-0010-0000-0600-000003000000}" name="Elementos" totalsRowFunction="sum"/>
    <tableColumn id="4" xr3:uid="{00000000-0010-0000-0600-000004000000}" name="Nome do Subcritério"/>
    <tableColumn id="5" xr3:uid="{00000000-0010-0000-0600-000005000000}" name="Total" totalsRowFunction="sum"/>
  </tableColumns>
  <tableStyleInfo name="TableStyleLight4" showFirstColumn="0" showLastColumn="0" showRowStripes="1" showColumnStripes="0"/>
</table>
</file>

<file path=xl/tables/table7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00000000-000C-0000-FFFF-FFFF45000000}" name="Elements132181" displayName="Elements132181" ref="A6:E13" totalsRowCount="1" totalsRowCellStyle="styleRegular">
  <autoFilter ref="A6:E12" xr:uid="{00000000-0009-0000-0100-000046000000}"/>
  <tableColumns count="5">
    <tableColumn id="1" xr3:uid="{00000000-0010-0000-4500-000001000000}" name="Projeto"/>
    <tableColumn id="2" xr3:uid="{00000000-0010-0000-4500-000002000000}" name="Vínculo"/>
    <tableColumn id="3" xr3:uid="{00000000-0010-0000-4500-000003000000}" name="Elemento" totalsRowFunction="count"/>
    <tableColumn id="4" xr3:uid="{00000000-0010-0000-4500-000004000000}" name="Id do Revit"/>
    <tableColumn id="5" xr3:uid="{00000000-0010-0000-4500-000005000000}" name="Totais:" totalsRowFunction="sum"/>
  </tableColumns>
  <tableStyleInfo name="TableStyleLight4" showFirstColumn="0" showLastColumn="0" showRowStripes="1" showColumnStripes="0"/>
</table>
</file>

<file path=xl/tables/table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00000000-000C-0000-FFFF-FFFF46000000}" name="Elements132191" displayName="Elements132191" ref="A6:E51" totalsRowCount="1" totalsRowCellStyle="styleRegular">
  <autoFilter ref="A6:E50" xr:uid="{00000000-0009-0000-0100-000047000000}"/>
  <tableColumns count="5">
    <tableColumn id="1" xr3:uid="{00000000-0010-0000-4600-000001000000}" name="Projeto"/>
    <tableColumn id="2" xr3:uid="{00000000-0010-0000-4600-000002000000}" name="Vínculo"/>
    <tableColumn id="3" xr3:uid="{00000000-0010-0000-4600-000003000000}" name="Elemento" totalsRowFunction="count"/>
    <tableColumn id="4" xr3:uid="{00000000-0010-0000-4600-000004000000}" name="Id do Revit"/>
    <tableColumn id="5" xr3:uid="{00000000-0010-0000-4600-000005000000}" name="Totais:" totalsRowFunction="sum"/>
  </tableColumns>
  <tableStyleInfo name="TableStyleLight4" showFirstColumn="0" showLastColumn="0" showRowStripes="1" showColumnStripes="0"/>
</table>
</file>

<file path=xl/tables/table7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2" xr:uid="{00000000-000C-0000-FFFF-FFFF47000000}" name="Elements132201" displayName="Elements132201" ref="A6:E616" totalsRowCount="1" totalsRowCellStyle="styleRegular">
  <autoFilter ref="A6:E615" xr:uid="{00000000-0009-0000-0100-000048000000}"/>
  <tableColumns count="5">
    <tableColumn id="1" xr3:uid="{00000000-0010-0000-4700-000001000000}" name="Projeto"/>
    <tableColumn id="2" xr3:uid="{00000000-0010-0000-4700-000002000000}" name="Vínculo"/>
    <tableColumn id="3" xr3:uid="{00000000-0010-0000-4700-000003000000}" name="Elemento" totalsRowFunction="count"/>
    <tableColumn id="4" xr3:uid="{00000000-0010-0000-4700-000004000000}" name="Id do Revit"/>
    <tableColumn id="5" xr3:uid="{00000000-0010-0000-4700-000005000000}" name="Totais:" totalsRowFunction="sum"/>
  </tableColumns>
  <tableStyleInfo name="TableStyleLight4" showFirstColumn="0" showLastColumn="0" showRowStripes="1" showColumnStripes="0"/>
</table>
</file>

<file path=xl/tables/table7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3" xr:uid="{00000000-000C-0000-FFFF-FFFF48000000}" name="Elements132211" displayName="Elements132211" ref="A6:E15" totalsRowCount="1" totalsRowCellStyle="styleRegular">
  <autoFilter ref="A6:E14" xr:uid="{00000000-0009-0000-0100-000049000000}"/>
  <tableColumns count="5">
    <tableColumn id="1" xr3:uid="{00000000-0010-0000-4800-000001000000}" name="Projeto"/>
    <tableColumn id="2" xr3:uid="{00000000-0010-0000-4800-000002000000}" name="Vínculo"/>
    <tableColumn id="3" xr3:uid="{00000000-0010-0000-4800-000003000000}" name="Elemento" totalsRowFunction="count"/>
    <tableColumn id="4" xr3:uid="{00000000-0010-0000-4800-000004000000}" name="Id do Revit"/>
    <tableColumn id="5" xr3:uid="{00000000-0010-0000-4800-000005000000}" name="Totais:" totalsRowFunction="sum"/>
  </tableColumns>
  <tableStyleInfo name="TableStyleLight4" showFirstColumn="0" showLastColumn="0" showRowStripes="1" showColumnStripes="0"/>
</table>
</file>

<file path=xl/tables/table7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4" xr:uid="{00000000-000C-0000-FFFF-FFFF49000000}" name="Elements132221" displayName="Elements132221" ref="A6:E261" totalsRowCount="1" totalsRowCellStyle="styleRegular">
  <autoFilter ref="A6:E260" xr:uid="{00000000-0009-0000-0100-00004A000000}"/>
  <tableColumns count="5">
    <tableColumn id="1" xr3:uid="{00000000-0010-0000-4900-000001000000}" name="Projeto"/>
    <tableColumn id="2" xr3:uid="{00000000-0010-0000-4900-000002000000}" name="Vínculo"/>
    <tableColumn id="3" xr3:uid="{00000000-0010-0000-4900-000003000000}" name="Elemento" totalsRowFunction="count"/>
    <tableColumn id="4" xr3:uid="{00000000-0010-0000-4900-000004000000}" name="Id do Revit"/>
    <tableColumn id="5" xr3:uid="{00000000-0010-0000-4900-000005000000}" name="Totais:" totalsRowFunction="sum"/>
  </tableColumns>
  <tableStyleInfo name="TableStyleLight4" showFirstColumn="0" showLastColumn="0" showRowStripes="1" showColumnStripes="0"/>
</table>
</file>

<file path=xl/tables/table7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00000000-000C-0000-FFFF-FFFF4A000000}" name="Elements132231" displayName="Elements132231" ref="A6:E324" totalsRowCount="1" totalsRowCellStyle="styleRegular">
  <autoFilter ref="A6:E323" xr:uid="{00000000-0009-0000-0100-00004B000000}"/>
  <tableColumns count="5">
    <tableColumn id="1" xr3:uid="{00000000-0010-0000-4A00-000001000000}" name="Projeto"/>
    <tableColumn id="2" xr3:uid="{00000000-0010-0000-4A00-000002000000}" name="Vínculo"/>
    <tableColumn id="3" xr3:uid="{00000000-0010-0000-4A00-000003000000}" name="Elemento" totalsRowFunction="count"/>
    <tableColumn id="4" xr3:uid="{00000000-0010-0000-4A00-000004000000}" name="Id do Revit"/>
    <tableColumn id="5" xr3:uid="{00000000-0010-0000-4A00-000005000000}" name="Totais:" totalsRowFunction="sum"/>
  </tableColumns>
  <tableStyleInfo name="TableStyleLight4" showFirstColumn="0" showLastColumn="0" showRowStripes="1" showColumnStripes="0"/>
</table>
</file>

<file path=xl/tables/table7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00000000-000C-0000-FFFF-FFFF4B000000}" name="Elements132241" displayName="Elements132241" ref="A6:E18" totalsRowCount="1" totalsRowCellStyle="styleRegular">
  <autoFilter ref="A6:E17" xr:uid="{00000000-0009-0000-0100-00004C000000}"/>
  <tableColumns count="5">
    <tableColumn id="1" xr3:uid="{00000000-0010-0000-4B00-000001000000}" name="Projeto"/>
    <tableColumn id="2" xr3:uid="{00000000-0010-0000-4B00-000002000000}" name="Vínculo"/>
    <tableColumn id="3" xr3:uid="{00000000-0010-0000-4B00-000003000000}" name="Elemento" totalsRowFunction="count"/>
    <tableColumn id="4" xr3:uid="{00000000-0010-0000-4B00-000004000000}" name="Id do Revit"/>
    <tableColumn id="5" xr3:uid="{00000000-0010-0000-4B00-000005000000}" name="Totais:" totalsRowFunction="sum"/>
  </tableColumns>
  <tableStyleInfo name="TableStyleLight4" showFirstColumn="0" showLastColumn="0" showRowStripes="1" showColumnStripes="0"/>
</table>
</file>

<file path=xl/tables/table7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00000000-000C-0000-FFFF-FFFF4C000000}" name="Elements132251" displayName="Elements132251" ref="A6:E9" totalsRowCount="1" totalsRowCellStyle="styleRegular">
  <autoFilter ref="A6:E8" xr:uid="{00000000-0009-0000-0100-00004D000000}"/>
  <tableColumns count="5">
    <tableColumn id="1" xr3:uid="{00000000-0010-0000-4C00-000001000000}" name="Projeto"/>
    <tableColumn id="2" xr3:uid="{00000000-0010-0000-4C00-000002000000}" name="Vínculo"/>
    <tableColumn id="3" xr3:uid="{00000000-0010-0000-4C00-000003000000}" name="Elemento" totalsRowFunction="count"/>
    <tableColumn id="4" xr3:uid="{00000000-0010-0000-4C00-000004000000}" name="Id do Revit"/>
    <tableColumn id="5" xr3:uid="{00000000-0010-0000-4C00-000005000000}" name="Totais:" totalsRowFunction="sum"/>
  </tableColumns>
  <tableStyleInfo name="TableStyleLight4" showFirstColumn="0" showLastColumn="0" showRowStripes="1" showColumnStripes="0"/>
</table>
</file>

<file path=xl/tables/table7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00000000-000C-0000-FFFF-FFFF4D000000}" name="Elements132261" displayName="Elements132261" ref="A6:E109" totalsRowCount="1" totalsRowCellStyle="styleRegular">
  <autoFilter ref="A6:E108" xr:uid="{00000000-0009-0000-0100-00004E000000}"/>
  <tableColumns count="5">
    <tableColumn id="1" xr3:uid="{00000000-0010-0000-4D00-000001000000}" name="Projeto"/>
    <tableColumn id="2" xr3:uid="{00000000-0010-0000-4D00-000002000000}" name="Vínculo"/>
    <tableColumn id="3" xr3:uid="{00000000-0010-0000-4D00-000003000000}" name="Elemento" totalsRowFunction="count"/>
    <tableColumn id="4" xr3:uid="{00000000-0010-0000-4D00-000004000000}" name="Id do Revit"/>
    <tableColumn id="5" xr3:uid="{00000000-0010-0000-4D00-000005000000}" name="Totais:" totalsRowFunction="sum"/>
  </tableColumns>
  <tableStyleInfo name="TableStyleLight4" showFirstColumn="0" showLastColumn="0" showRowStripes="1" showColumnStripes="0"/>
</table>
</file>

<file path=xl/tables/table7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00000000-000C-0000-FFFF-FFFF4E000000}" name="Elements132262" displayName="Elements132262" ref="A117:E240" totalsRowCount="1" totalsRowCellStyle="styleRegular">
  <autoFilter ref="A117:E239" xr:uid="{00000000-0009-0000-0100-00004F000000}"/>
  <tableColumns count="5">
    <tableColumn id="1" xr3:uid="{00000000-0010-0000-4E00-000001000000}" name="Projeto"/>
    <tableColumn id="2" xr3:uid="{00000000-0010-0000-4E00-000002000000}" name="Vínculo"/>
    <tableColumn id="3" xr3:uid="{00000000-0010-0000-4E00-000003000000}" name="Elemento" totalsRowFunction="count"/>
    <tableColumn id="4" xr3:uid="{00000000-0010-0000-4E00-000004000000}" name="Id do Revit"/>
    <tableColumn id="5" xr3:uid="{00000000-0010-0000-4E00-000005000000}" name="Totais: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Criteria_Summary13.2.8" displayName="Criteria_Summary13.2.8" ref="A7:E9" totalsRowCount="1" totalsRowCellStyle="styleRegular">
  <autoFilter ref="A7:E8" xr:uid="{00000000-0009-0000-0100-000008000000}"/>
  <tableColumns count="5">
    <tableColumn id="1" xr3:uid="{00000000-0010-0000-0700-000001000000}" name="Item"/>
    <tableColumn id="2" xr3:uid="{00000000-0010-0000-0700-000002000000}" name="Tipo"/>
    <tableColumn id="3" xr3:uid="{00000000-0010-0000-0700-000003000000}" name="Elementos" totalsRowFunction="sum"/>
    <tableColumn id="4" xr3:uid="{00000000-0010-0000-0700-000004000000}" name="Nome do Subcritério"/>
    <tableColumn id="5" xr3:uid="{00000000-0010-0000-0700-000005000000}" name="Total" totalsRowFunction="sum"/>
  </tableColumns>
  <tableStyleInfo name="TableStyleLight4" showFirstColumn="0" showLastColumn="0" showRowStripes="1" showColumnStripes="0"/>
</table>
</file>

<file path=xl/tables/table8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0" xr:uid="{00000000-000C-0000-FFFF-FFFF4F000000}" name="Elements132271" displayName="Elements132271" ref="A6:E13" totalsRowCount="1" totalsRowCellStyle="styleRegular">
  <autoFilter ref="A6:E12" xr:uid="{00000000-0009-0000-0100-000050000000}"/>
  <tableColumns count="5">
    <tableColumn id="1" xr3:uid="{00000000-0010-0000-4F00-000001000000}" name="Projeto"/>
    <tableColumn id="2" xr3:uid="{00000000-0010-0000-4F00-000002000000}" name="Vínculo"/>
    <tableColumn id="3" xr3:uid="{00000000-0010-0000-4F00-000003000000}" name="Elemento" totalsRowFunction="count"/>
    <tableColumn id="4" xr3:uid="{00000000-0010-0000-4F00-000004000000}" name="Id do Revit"/>
    <tableColumn id="5" xr3:uid="{00000000-0010-0000-4F00-000005000000}" name="Totais:" totalsRowFunction="sum"/>
  </tableColumns>
  <tableStyleInfo name="TableStyleLight4" showFirstColumn="0" showLastColumn="0" showRowStripes="1" showColumnStripes="0"/>
</table>
</file>

<file path=xl/tables/table8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1" xr:uid="{00000000-000C-0000-FFFF-FFFF50000000}" name="Elements132281" displayName="Elements132281" ref="A6:E15" totalsRowCount="1" totalsRowCellStyle="styleRegular">
  <autoFilter ref="A6:E14" xr:uid="{00000000-0009-0000-0100-000051000000}"/>
  <tableColumns count="5">
    <tableColumn id="1" xr3:uid="{00000000-0010-0000-5000-000001000000}" name="Projeto"/>
    <tableColumn id="2" xr3:uid="{00000000-0010-0000-5000-000002000000}" name="Vínculo"/>
    <tableColumn id="3" xr3:uid="{00000000-0010-0000-5000-000003000000}" name="Elemento" totalsRowFunction="count"/>
    <tableColumn id="4" xr3:uid="{00000000-0010-0000-5000-000004000000}" name="Id do Revit"/>
    <tableColumn id="5" xr3:uid="{00000000-0010-0000-5000-000005000000}" name="Totais:" totalsRowFunction="sum"/>
  </tableColumns>
  <tableStyleInfo name="TableStyleLight4" showFirstColumn="0" showLastColumn="0" showRowStripes="1" showColumnStripes="0"/>
</table>
</file>

<file path=xl/tables/table8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2" xr:uid="{00000000-000C-0000-FFFF-FFFF51000000}" name="Elements132291" displayName="Elements132291" ref="A6:E17" totalsRowCount="1" totalsRowCellStyle="styleRegular">
  <autoFilter ref="A6:E16" xr:uid="{00000000-0009-0000-0100-000052000000}"/>
  <tableColumns count="5">
    <tableColumn id="1" xr3:uid="{00000000-0010-0000-5100-000001000000}" name="Projeto"/>
    <tableColumn id="2" xr3:uid="{00000000-0010-0000-5100-000002000000}" name="Vínculo"/>
    <tableColumn id="3" xr3:uid="{00000000-0010-0000-5100-000003000000}" name="Elemento" totalsRowFunction="count"/>
    <tableColumn id="4" xr3:uid="{00000000-0010-0000-5100-000004000000}" name="Id do Revit"/>
    <tableColumn id="5" xr3:uid="{00000000-0010-0000-5100-000005000000}" name="Totais:" totalsRowFunction="sum"/>
  </tableColumns>
  <tableStyleInfo name="TableStyleLight4" showFirstColumn="0" showLastColumn="0" showRowStripes="1" showColumnStripes="0"/>
</table>
</file>

<file path=xl/tables/table8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3" xr:uid="{00000000-000C-0000-FFFF-FFFF52000000}" name="Elements132301" displayName="Elements132301" ref="A6:E57" totalsRowCount="1" totalsRowCellStyle="styleRegular">
  <autoFilter ref="A6:E56" xr:uid="{00000000-0009-0000-0100-000053000000}"/>
  <tableColumns count="5">
    <tableColumn id="1" xr3:uid="{00000000-0010-0000-5200-000001000000}" name="Projeto"/>
    <tableColumn id="2" xr3:uid="{00000000-0010-0000-5200-000002000000}" name="Vínculo"/>
    <tableColumn id="3" xr3:uid="{00000000-0010-0000-5200-000003000000}" name="Elemento" totalsRowFunction="count"/>
    <tableColumn id="4" xr3:uid="{00000000-0010-0000-5200-000004000000}" name="Id do Revit"/>
    <tableColumn id="5" xr3:uid="{00000000-0010-0000-5200-000005000000}" name="Totais:" totalsRowFunction="sum"/>
  </tableColumns>
  <tableStyleInfo name="TableStyleLight4" showFirstColumn="0" showLastColumn="0" showRowStripes="1" showColumnStripes="0"/>
</table>
</file>

<file path=xl/tables/table8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00000000-000C-0000-FFFF-FFFF53000000}" name="Elements132311" displayName="Elements132311" ref="A6:E17" totalsRowCount="1" totalsRowCellStyle="styleRegular">
  <autoFilter ref="A6:E16" xr:uid="{00000000-0009-0000-0100-000054000000}"/>
  <tableColumns count="5">
    <tableColumn id="1" xr3:uid="{00000000-0010-0000-5300-000001000000}" name="Projeto"/>
    <tableColumn id="2" xr3:uid="{00000000-0010-0000-5300-000002000000}" name="Vínculo"/>
    <tableColumn id="3" xr3:uid="{00000000-0010-0000-5300-000003000000}" name="Elemento" totalsRowFunction="count"/>
    <tableColumn id="4" xr3:uid="{00000000-0010-0000-5300-000004000000}" name="Id do Revit"/>
    <tableColumn id="5" xr3:uid="{00000000-0010-0000-5300-000005000000}" name="Totais:" totalsRowFunction="sum"/>
  </tableColumns>
  <tableStyleInfo name="TableStyleLight4" showFirstColumn="0" showLastColumn="0" showRowStripes="1" showColumnStripes="0"/>
</table>
</file>

<file path=xl/tables/table8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5" xr:uid="{00000000-000C-0000-FFFF-FFFF54000000}" name="Elements132321" displayName="Elements132321" ref="A6:E16" totalsRowCount="1" totalsRowCellStyle="styleRegular">
  <autoFilter ref="A6:E15" xr:uid="{00000000-0009-0000-0100-000055000000}"/>
  <tableColumns count="5">
    <tableColumn id="1" xr3:uid="{00000000-0010-0000-5400-000001000000}" name="Projeto"/>
    <tableColumn id="2" xr3:uid="{00000000-0010-0000-5400-000002000000}" name="Vínculo"/>
    <tableColumn id="3" xr3:uid="{00000000-0010-0000-5400-000003000000}" name="Elemento" totalsRowFunction="count"/>
    <tableColumn id="4" xr3:uid="{00000000-0010-0000-5400-000004000000}" name="Id do Revit"/>
    <tableColumn id="5" xr3:uid="{00000000-0010-0000-5400-000005000000}" name="Totais:" totalsRowFunction="sum"/>
  </tableColumns>
  <tableStyleInfo name="TableStyleLight4" showFirstColumn="0" showLastColumn="0" showRowStripes="1" showColumnStripes="0"/>
</table>
</file>

<file path=xl/tables/table8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6" xr:uid="{00000000-000C-0000-FFFF-FFFF55000000}" name="Elements132331" displayName="Elements132331" ref="A6:E13" totalsRowCount="1" totalsRowCellStyle="styleRegular">
  <autoFilter ref="A6:E12" xr:uid="{00000000-0009-0000-0100-000056000000}"/>
  <tableColumns count="5">
    <tableColumn id="1" xr3:uid="{00000000-0010-0000-5500-000001000000}" name="Projeto"/>
    <tableColumn id="2" xr3:uid="{00000000-0010-0000-5500-000002000000}" name="Vínculo"/>
    <tableColumn id="3" xr3:uid="{00000000-0010-0000-5500-000003000000}" name="Elemento" totalsRowFunction="count"/>
    <tableColumn id="4" xr3:uid="{00000000-0010-0000-5500-000004000000}" name="Id do Revit"/>
    <tableColumn id="5" xr3:uid="{00000000-0010-0000-5500-000005000000}" name="Totais:" totalsRowFunction="sum"/>
  </tableColumns>
  <tableStyleInfo name="TableStyleLight4" showFirstColumn="0" showLastColumn="0" showRowStripes="1" showColumnStripes="0"/>
</table>
</file>

<file path=xl/tables/table8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7" xr:uid="{00000000-000C-0000-FFFF-FFFF56000000}" name="Elements132341" displayName="Elements132341" ref="A6:E493" totalsRowCount="1" totalsRowCellStyle="styleRegular">
  <autoFilter ref="A6:E492" xr:uid="{00000000-0009-0000-0100-000057000000}"/>
  <tableColumns count="5">
    <tableColumn id="1" xr3:uid="{00000000-0010-0000-5600-000001000000}" name="Projeto"/>
    <tableColumn id="2" xr3:uid="{00000000-0010-0000-5600-000002000000}" name="Vínculo"/>
    <tableColumn id="3" xr3:uid="{00000000-0010-0000-5600-000003000000}" name="Elemento" totalsRowFunction="count"/>
    <tableColumn id="4" xr3:uid="{00000000-0010-0000-5600-000004000000}" name="Id do Revit"/>
    <tableColumn id="5" xr3:uid="{00000000-0010-0000-5600-000005000000}" name="Totais:" totalsRowFunction="sum"/>
  </tableColumns>
  <tableStyleInfo name="TableStyleLight4" showFirstColumn="0" showLastColumn="0" showRowStripes="1" showColumnStripes="0"/>
</table>
</file>

<file path=xl/tables/table8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8" xr:uid="{00000000-000C-0000-FFFF-FFFF57000000}" name="Elements132351" displayName="Elements132351" ref="A6:E12" totalsRowCount="1" totalsRowCellStyle="styleRegular">
  <autoFilter ref="A6:E11" xr:uid="{00000000-0009-0000-0100-000058000000}"/>
  <tableColumns count="5">
    <tableColumn id="1" xr3:uid="{00000000-0010-0000-5700-000001000000}" name="Projeto"/>
    <tableColumn id="2" xr3:uid="{00000000-0010-0000-5700-000002000000}" name="Vínculo"/>
    <tableColumn id="3" xr3:uid="{00000000-0010-0000-5700-000003000000}" name="Elemento" totalsRowFunction="count"/>
    <tableColumn id="4" xr3:uid="{00000000-0010-0000-5700-000004000000}" name="Id do Revit"/>
    <tableColumn id="5" xr3:uid="{00000000-0010-0000-5700-000005000000}" name="Totais:" totalsRowFunction="sum"/>
  </tableColumns>
  <tableStyleInfo name="TableStyleLight4" showFirstColumn="0" showLastColumn="0" showRowStripes="1" showColumnStripes="0"/>
</table>
</file>

<file path=xl/tables/table8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9" xr:uid="{00000000-000C-0000-FFFF-FFFF58000000}" name="Elements132361" displayName="Elements132361" ref="A6:E252" totalsRowCount="1" totalsRowCellStyle="styleRegular">
  <autoFilter ref="A6:E251" xr:uid="{00000000-0009-0000-0100-000059000000}"/>
  <tableColumns count="5">
    <tableColumn id="1" xr3:uid="{00000000-0010-0000-5800-000001000000}" name="Projeto"/>
    <tableColumn id="2" xr3:uid="{00000000-0010-0000-5800-000002000000}" name="Vínculo"/>
    <tableColumn id="3" xr3:uid="{00000000-0010-0000-5800-000003000000}" name="Elemento" totalsRowFunction="count"/>
    <tableColumn id="4" xr3:uid="{00000000-0010-0000-5800-000004000000}" name="Id do Revit"/>
    <tableColumn id="5" xr3:uid="{00000000-0010-0000-5800-000005000000}" name="Totais: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Criteria_Summary13.2.9" displayName="Criteria_Summary13.2.9" ref="A7:E9" totalsRowCount="1" totalsRowCellStyle="styleRegular">
  <autoFilter ref="A7:E8" xr:uid="{00000000-0009-0000-0100-000009000000}"/>
  <tableColumns count="5">
    <tableColumn id="1" xr3:uid="{00000000-0010-0000-0800-000001000000}" name="Item"/>
    <tableColumn id="2" xr3:uid="{00000000-0010-0000-0800-000002000000}" name="Tipo"/>
    <tableColumn id="3" xr3:uid="{00000000-0010-0000-0800-000003000000}" name="Elementos" totalsRowFunction="sum"/>
    <tableColumn id="4" xr3:uid="{00000000-0010-0000-0800-000004000000}" name="Nome do Subcritério"/>
    <tableColumn id="5" xr3:uid="{00000000-0010-0000-0800-000005000000}" name="Total" totalsRowFunction="sum"/>
  </tableColumns>
  <tableStyleInfo name="TableStyleLight4" showFirstColumn="0" showLastColumn="0" showRowStripes="1" showColumnStripes="0"/>
</table>
</file>

<file path=xl/tables/table9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0" xr:uid="{00000000-000C-0000-FFFF-FFFF59000000}" name="Elements132371" displayName="Elements132371" ref="A6:E91" totalsRowCount="1" totalsRowCellStyle="styleRegular">
  <autoFilter ref="A6:E90" xr:uid="{00000000-0009-0000-0100-00005A000000}"/>
  <tableColumns count="5">
    <tableColumn id="1" xr3:uid="{00000000-0010-0000-5900-000001000000}" name="Projeto"/>
    <tableColumn id="2" xr3:uid="{00000000-0010-0000-5900-000002000000}" name="Vínculo"/>
    <tableColumn id="3" xr3:uid="{00000000-0010-0000-5900-000003000000}" name="Elemento" totalsRowFunction="count"/>
    <tableColumn id="4" xr3:uid="{00000000-0010-0000-5900-000004000000}" name="Id do Revit"/>
    <tableColumn id="5" xr3:uid="{00000000-0010-0000-5900-000005000000}" name="Totais:" totalsRowFunction="sum"/>
  </tableColumns>
  <tableStyleInfo name="TableStyleLight4" showFirstColumn="0" showLastColumn="0" showRowStripes="1" showColumnStripes="0"/>
</table>
</file>

<file path=xl/tables/table9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1" xr:uid="{00000000-000C-0000-FFFF-FFFF5A000000}" name="Elements132381" displayName="Elements132381" ref="A6:E30" totalsRowCount="1" totalsRowCellStyle="styleRegular">
  <autoFilter ref="A6:E29" xr:uid="{00000000-0009-0000-0100-00005B000000}"/>
  <tableColumns count="5">
    <tableColumn id="1" xr3:uid="{00000000-0010-0000-5A00-000001000000}" name="Projeto"/>
    <tableColumn id="2" xr3:uid="{00000000-0010-0000-5A00-000002000000}" name="Vínculo"/>
    <tableColumn id="3" xr3:uid="{00000000-0010-0000-5A00-000003000000}" name="Elemento" totalsRowFunction="count"/>
    <tableColumn id="4" xr3:uid="{00000000-0010-0000-5A00-000004000000}" name="Id do Revit"/>
    <tableColumn id="5" xr3:uid="{00000000-0010-0000-5A00-000005000000}" name="Totais:" totalsRowFunction="sum"/>
  </tableColumns>
  <tableStyleInfo name="TableStyleLight4" showFirstColumn="0" showLastColumn="0" showRowStripes="1" showColumnStripes="0"/>
</table>
</file>

<file path=xl/tables/table9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2" xr:uid="{00000000-000C-0000-FFFF-FFFF5B000000}" name="Elements132391" displayName="Elements132391" ref="A6:E65" totalsRowCount="1" totalsRowCellStyle="styleRegular">
  <autoFilter ref="A6:E64" xr:uid="{00000000-0009-0000-0100-00005C000000}"/>
  <tableColumns count="5">
    <tableColumn id="1" xr3:uid="{00000000-0010-0000-5B00-000001000000}" name="Projeto"/>
    <tableColumn id="2" xr3:uid="{00000000-0010-0000-5B00-000002000000}" name="Vínculo"/>
    <tableColumn id="3" xr3:uid="{00000000-0010-0000-5B00-000003000000}" name="Elemento" totalsRowFunction="count"/>
    <tableColumn id="4" xr3:uid="{00000000-0010-0000-5B00-000004000000}" name="Id do Revit"/>
    <tableColumn id="5" xr3:uid="{00000000-0010-0000-5B00-000005000000}" name="Totais:" totalsRowFunction="sum"/>
  </tableColumns>
  <tableStyleInfo name="TableStyleLight4" showFirstColumn="0" showLastColumn="0" showRowStripes="1" showColumnStripes="0"/>
</table>
</file>

<file path=xl/tables/table9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3" xr:uid="{00000000-000C-0000-FFFF-FFFF5C000000}" name="Elements132401" displayName="Elements132401" ref="A6:E8" totalsRowCount="1" totalsRowCellStyle="styleRegular">
  <autoFilter ref="A6:E7" xr:uid="{00000000-0009-0000-0100-00005D000000}"/>
  <tableColumns count="5">
    <tableColumn id="1" xr3:uid="{00000000-0010-0000-5C00-000001000000}" name="Projeto"/>
    <tableColumn id="2" xr3:uid="{00000000-0010-0000-5C00-000002000000}" name="Vínculo"/>
    <tableColumn id="3" xr3:uid="{00000000-0010-0000-5C00-000003000000}" name="Elemento" totalsRowFunction="count"/>
    <tableColumn id="4" xr3:uid="{00000000-0010-0000-5C00-000004000000}" name="Id do Revit"/>
    <tableColumn id="5" xr3:uid="{00000000-0010-0000-5C00-000005000000}" name="Totais:" totalsRowFunction="sum"/>
  </tableColumns>
  <tableStyleInfo name="TableStyleLight4" showFirstColumn="0" showLastColumn="0" showRowStripes="1" showColumnStripes="0"/>
</table>
</file>

<file path=xl/tables/table9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4" xr:uid="{00000000-000C-0000-FFFF-FFFF5D000000}" name="Elements132411" displayName="Elements132411" ref="A6:E35" totalsRowCount="1" totalsRowCellStyle="styleRegular">
  <autoFilter ref="A6:E34" xr:uid="{00000000-0009-0000-0100-00005E000000}"/>
  <tableColumns count="5">
    <tableColumn id="1" xr3:uid="{00000000-0010-0000-5D00-000001000000}" name="Projeto"/>
    <tableColumn id="2" xr3:uid="{00000000-0010-0000-5D00-000002000000}" name="Vínculo"/>
    <tableColumn id="3" xr3:uid="{00000000-0010-0000-5D00-000003000000}" name="Elemento" totalsRowFunction="count"/>
    <tableColumn id="4" xr3:uid="{00000000-0010-0000-5D00-000004000000}" name="Id do Revit"/>
    <tableColumn id="5" xr3:uid="{00000000-0010-0000-5D00-000005000000}" name="Totais:" totalsRowFunction="sum"/>
  </tableColumns>
  <tableStyleInfo name="TableStyleLight4" showFirstColumn="0" showLastColumn="0" showRowStripes="1" showColumnStripes="0"/>
</table>
</file>

<file path=xl/tables/table9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5" xr:uid="{00000000-000C-0000-FFFF-FFFF5E000000}" name="Elements132421" displayName="Elements132421" ref="A6:E36" totalsRowCount="1" totalsRowCellStyle="styleRegular">
  <autoFilter ref="A6:E35" xr:uid="{00000000-0009-0000-0100-00005F000000}"/>
  <tableColumns count="5">
    <tableColumn id="1" xr3:uid="{00000000-0010-0000-5E00-000001000000}" name="Projeto"/>
    <tableColumn id="2" xr3:uid="{00000000-0010-0000-5E00-000002000000}" name="Vínculo"/>
    <tableColumn id="3" xr3:uid="{00000000-0010-0000-5E00-000003000000}" name="Elemento" totalsRowFunction="count"/>
    <tableColumn id="4" xr3:uid="{00000000-0010-0000-5E00-000004000000}" name="Id do Revit"/>
    <tableColumn id="5" xr3:uid="{00000000-0010-0000-5E00-000005000000}" name="Totais:" totalsRowFunction="sum"/>
  </tableColumns>
  <tableStyleInfo name="TableStyleLight4" showFirstColumn="0" showLastColumn="0" showRowStripes="1" showColumnStripes="0"/>
</table>
</file>

<file path=xl/tables/table9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6" xr:uid="{00000000-000C-0000-FFFF-FFFF5F000000}" name="Elements132431" displayName="Elements132431" ref="A6:E76" totalsRowCount="1" totalsRowCellStyle="styleRegular">
  <autoFilter ref="A6:E75" xr:uid="{00000000-0009-0000-0100-000060000000}"/>
  <tableColumns count="5">
    <tableColumn id="1" xr3:uid="{00000000-0010-0000-5F00-000001000000}" name="Projeto"/>
    <tableColumn id="2" xr3:uid="{00000000-0010-0000-5F00-000002000000}" name="Vínculo"/>
    <tableColumn id="3" xr3:uid="{00000000-0010-0000-5F00-000003000000}" name="Elemento" totalsRowFunction="count"/>
    <tableColumn id="4" xr3:uid="{00000000-0010-0000-5F00-000004000000}" name="Id do Revit"/>
    <tableColumn id="5" xr3:uid="{00000000-0010-0000-5F00-000005000000}" name="Totais:" totalsRowFunction="sum"/>
  </tableColumns>
  <tableStyleInfo name="TableStyleLight4" showFirstColumn="0" showLastColumn="0" showRowStripes="1" showColumnStripes="0"/>
</table>
</file>

<file path=xl/tables/table9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7" xr:uid="{00000000-000C-0000-FFFF-FFFF60000000}" name="Elements132441" displayName="Elements132441" ref="A6:E27" totalsRowCount="1" totalsRowCellStyle="styleRegular">
  <autoFilter ref="A6:E26" xr:uid="{00000000-0009-0000-0100-000061000000}"/>
  <tableColumns count="5">
    <tableColumn id="1" xr3:uid="{00000000-0010-0000-6000-000001000000}" name="Projeto"/>
    <tableColumn id="2" xr3:uid="{00000000-0010-0000-6000-000002000000}" name="Vínculo"/>
    <tableColumn id="3" xr3:uid="{00000000-0010-0000-6000-000003000000}" name="Elemento" totalsRowFunction="count"/>
    <tableColumn id="4" xr3:uid="{00000000-0010-0000-6000-000004000000}" name="Id do Revit"/>
    <tableColumn id="5" xr3:uid="{00000000-0010-0000-6000-000005000000}" name="Totais:" totalsRowFunction="sum"/>
  </tableColumns>
  <tableStyleInfo name="TableStyleLight4" showFirstColumn="0" showLastColumn="0" showRowStripes="1" showColumnStripes="0"/>
</table>
</file>

<file path=xl/tables/table9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8" xr:uid="{00000000-000C-0000-FFFF-FFFF61000000}" name="Elements132451" displayName="Elements132451" ref="A6:E51" totalsRowCount="1" totalsRowCellStyle="styleRegular">
  <autoFilter ref="A6:E50" xr:uid="{00000000-0009-0000-0100-000062000000}"/>
  <tableColumns count="5">
    <tableColumn id="1" xr3:uid="{00000000-0010-0000-6100-000001000000}" name="Projeto"/>
    <tableColumn id="2" xr3:uid="{00000000-0010-0000-6100-000002000000}" name="Vínculo"/>
    <tableColumn id="3" xr3:uid="{00000000-0010-0000-6100-000003000000}" name="Elemento" totalsRowFunction="count"/>
    <tableColumn id="4" xr3:uid="{00000000-0010-0000-6100-000004000000}" name="Id do Revit"/>
    <tableColumn id="5" xr3:uid="{00000000-0010-0000-6100-000005000000}" name="Totais:" totalsRowFunction="sum"/>
  </tableColumns>
  <tableStyleInfo name="TableStyleLight4" showFirstColumn="0" showLastColumn="0" showRowStripes="1" showColumnStripes="0"/>
</table>
</file>

<file path=xl/tables/table9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9" xr:uid="{00000000-000C-0000-FFFF-FFFF62000000}" name="Elements132461" displayName="Elements132461" ref="A6:E11" totalsRowCount="1" totalsRowCellStyle="styleRegular">
  <autoFilter ref="A6:E10" xr:uid="{00000000-0009-0000-0100-000063000000}"/>
  <tableColumns count="5">
    <tableColumn id="1" xr3:uid="{00000000-0010-0000-6200-000001000000}" name="Projeto"/>
    <tableColumn id="2" xr3:uid="{00000000-0010-0000-6200-000002000000}" name="Vínculo"/>
    <tableColumn id="3" xr3:uid="{00000000-0010-0000-6200-000003000000}" name="Elemento" totalsRowFunction="count"/>
    <tableColumn id="4" xr3:uid="{00000000-0010-0000-6200-000004000000}" name="Id do Revit"/>
    <tableColumn id="5" xr3:uid="{00000000-0010-0000-6200-000005000000}" name="Totais: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1.xml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2.xml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2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3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4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5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6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8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9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0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1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2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3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4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5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6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8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9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0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2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3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4.xml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5.xml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6.xml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7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8.xml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9.xml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0.xml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1.xml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2.xml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3.xml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4.xml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5.xml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6.xml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8.xml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9.xml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0.xml"/></Relationships>
</file>

<file path=xl/worksheets/_rels/sheet6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2.xml"/><Relationship Id="rId1" Type="http://schemas.openxmlformats.org/officeDocument/2006/relationships/table" Target="../tables/table61.xml"/></Relationships>
</file>

<file path=xl/worksheets/_rels/sheet6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4.xml"/><Relationship Id="rId1" Type="http://schemas.openxmlformats.org/officeDocument/2006/relationships/table" Target="../tables/table63.xml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5.xml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6.xml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7.xml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8.xml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0.xml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1.xml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2.xml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3.xml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4.xml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5.xml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6.xml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7.xml"/></Relationships>
</file>

<file path=xl/worksheets/_rels/sheet7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9.xml"/><Relationship Id="rId1" Type="http://schemas.openxmlformats.org/officeDocument/2006/relationships/table" Target="../tables/table78.xml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0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1.xml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2.xml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3.xml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4.xml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5.xml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6.xml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7.xml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8.xml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9.xml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0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1.xml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2.xml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3.xml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4.xml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5.xml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6.xml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7.xml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8.xml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9.xml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6"/>
  <sheetViews>
    <sheetView showGridLines="0" workbookViewId="0">
      <selection activeCell="F29" sqref="F29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15" t="s">
        <v>0</v>
      </c>
      <c r="B1" s="15" t="s">
        <v>0</v>
      </c>
      <c r="C1" s="15" t="s">
        <v>0</v>
      </c>
      <c r="D1" s="15" t="s">
        <v>0</v>
      </c>
      <c r="E1" s="15" t="s">
        <v>0</v>
      </c>
      <c r="F1" s="15" t="s">
        <v>0</v>
      </c>
      <c r="G1" s="15" t="s">
        <v>0</v>
      </c>
      <c r="H1" s="15" t="s">
        <v>0</v>
      </c>
      <c r="I1" s="15" t="s">
        <v>0</v>
      </c>
    </row>
    <row r="2" spans="1:9">
      <c r="A2" s="15" t="s">
        <v>0</v>
      </c>
      <c r="B2" s="15" t="s">
        <v>0</v>
      </c>
      <c r="C2" s="15" t="s">
        <v>0</v>
      </c>
      <c r="D2" s="15" t="s">
        <v>0</v>
      </c>
      <c r="E2" s="15" t="s">
        <v>0</v>
      </c>
      <c r="F2" s="15" t="s">
        <v>0</v>
      </c>
      <c r="G2" s="15" t="s">
        <v>0</v>
      </c>
      <c r="H2" s="15" t="s">
        <v>0</v>
      </c>
      <c r="I2" s="15" t="s">
        <v>0</v>
      </c>
    </row>
    <row r="4" spans="1:9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</row>
    <row r="5" spans="1:9">
      <c r="A5" s="4" t="s">
        <v>10</v>
      </c>
      <c r="B5" s="5"/>
      <c r="C5" s="5"/>
      <c r="D5" s="4" t="s">
        <v>11</v>
      </c>
      <c r="E5" s="5"/>
      <c r="F5" s="4">
        <v>1</v>
      </c>
      <c r="G5" s="5"/>
      <c r="H5" s="5"/>
      <c r="I5" s="4">
        <v>100583.41497300001</v>
      </c>
    </row>
    <row r="6" spans="1:9">
      <c r="A6" s="6" t="s">
        <v>12</v>
      </c>
      <c r="B6" s="6" t="s">
        <v>13</v>
      </c>
      <c r="C6" s="6" t="s">
        <v>14</v>
      </c>
      <c r="D6" s="6" t="s">
        <v>15</v>
      </c>
      <c r="E6" s="6" t="s">
        <v>16</v>
      </c>
      <c r="F6" s="7" t="s">
        <v>17</v>
      </c>
      <c r="G6" s="6">
        <v>0.61</v>
      </c>
      <c r="H6" s="6">
        <v>0.7310850000000001</v>
      </c>
      <c r="I6" s="6">
        <v>4.3865100000000004</v>
      </c>
    </row>
    <row r="7" spans="1:9">
      <c r="A7" s="6" t="s">
        <v>18</v>
      </c>
      <c r="B7" s="6" t="s">
        <v>19</v>
      </c>
      <c r="C7" s="6" t="s">
        <v>14</v>
      </c>
      <c r="D7" s="6" t="s">
        <v>20</v>
      </c>
      <c r="E7" s="6" t="s">
        <v>16</v>
      </c>
      <c r="F7" s="7" t="s">
        <v>21</v>
      </c>
      <c r="G7" s="6">
        <v>11.53</v>
      </c>
      <c r="H7" s="6">
        <v>13.818705000000001</v>
      </c>
      <c r="I7" s="6">
        <v>386.92374000000007</v>
      </c>
    </row>
    <row r="8" spans="1:9">
      <c r="A8" s="6" t="s">
        <v>22</v>
      </c>
      <c r="B8" s="6" t="s">
        <v>23</v>
      </c>
      <c r="C8" s="6" t="s">
        <v>14</v>
      </c>
      <c r="D8" s="6" t="s">
        <v>24</v>
      </c>
      <c r="E8" s="6" t="s">
        <v>16</v>
      </c>
      <c r="F8" s="7" t="s">
        <v>25</v>
      </c>
      <c r="G8" s="6">
        <v>3.5</v>
      </c>
      <c r="H8" s="6">
        <v>4.1947500000000009</v>
      </c>
      <c r="I8" s="6">
        <v>12.584250000000003</v>
      </c>
    </row>
    <row r="9" spans="1:9">
      <c r="A9" s="6" t="s">
        <v>26</v>
      </c>
      <c r="B9" s="6" t="s">
        <v>27</v>
      </c>
      <c r="C9" s="6" t="s">
        <v>14</v>
      </c>
      <c r="D9" s="6" t="s">
        <v>28</v>
      </c>
      <c r="E9" s="6" t="s">
        <v>16</v>
      </c>
      <c r="F9" s="7" t="s">
        <v>29</v>
      </c>
      <c r="G9" s="6">
        <v>5.47</v>
      </c>
      <c r="H9" s="6">
        <v>6.5557950000000007</v>
      </c>
      <c r="I9" s="6">
        <v>52.446360000000006</v>
      </c>
    </row>
    <row r="10" spans="1:9">
      <c r="A10" s="6" t="s">
        <v>30</v>
      </c>
      <c r="B10" s="6" t="s">
        <v>31</v>
      </c>
      <c r="C10" s="6" t="s">
        <v>32</v>
      </c>
      <c r="D10" s="6" t="s">
        <v>33</v>
      </c>
      <c r="E10" s="6" t="s">
        <v>16</v>
      </c>
      <c r="F10" s="7" t="s">
        <v>25</v>
      </c>
      <c r="G10" s="6">
        <v>12.7</v>
      </c>
      <c r="H10" s="6">
        <v>15.22095</v>
      </c>
      <c r="I10" s="6">
        <v>45.662849999999999</v>
      </c>
    </row>
    <row r="11" spans="1:9">
      <c r="A11" s="6" t="s">
        <v>34</v>
      </c>
      <c r="B11" s="6" t="s">
        <v>35</v>
      </c>
      <c r="C11" s="6" t="s">
        <v>36</v>
      </c>
      <c r="D11" s="6" t="s">
        <v>37</v>
      </c>
      <c r="E11" s="6" t="s">
        <v>16</v>
      </c>
      <c r="F11" s="7" t="s">
        <v>38</v>
      </c>
      <c r="G11" s="6">
        <v>18.73</v>
      </c>
      <c r="H11" s="6">
        <v>22.447905000000002</v>
      </c>
      <c r="I11" s="6">
        <v>2805.9881250000003</v>
      </c>
    </row>
    <row r="12" spans="1:9">
      <c r="A12" s="6" t="s">
        <v>39</v>
      </c>
      <c r="B12" s="6" t="s">
        <v>40</v>
      </c>
      <c r="C12" s="6" t="s">
        <v>14</v>
      </c>
      <c r="D12" s="6" t="s">
        <v>41</v>
      </c>
      <c r="E12" s="6" t="s">
        <v>16</v>
      </c>
      <c r="F12" s="7" t="s">
        <v>42</v>
      </c>
      <c r="G12" s="6">
        <v>123.6</v>
      </c>
      <c r="H12" s="6">
        <v>148.13460000000001</v>
      </c>
      <c r="I12" s="6">
        <v>148.13460000000001</v>
      </c>
    </row>
    <row r="13" spans="1:9">
      <c r="A13" s="6" t="s">
        <v>43</v>
      </c>
      <c r="B13" s="6" t="s">
        <v>44</v>
      </c>
      <c r="C13" s="6" t="s">
        <v>14</v>
      </c>
      <c r="D13" s="6" t="s">
        <v>45</v>
      </c>
      <c r="E13" s="6" t="s">
        <v>16</v>
      </c>
      <c r="F13" s="7" t="s">
        <v>46</v>
      </c>
      <c r="G13" s="6">
        <v>63.61</v>
      </c>
      <c r="H13" s="6">
        <v>76.236585000000005</v>
      </c>
      <c r="I13" s="6">
        <v>4421.7219300000006</v>
      </c>
    </row>
    <row r="14" spans="1:9">
      <c r="A14" s="6" t="s">
        <v>47</v>
      </c>
      <c r="B14" s="6" t="s">
        <v>48</v>
      </c>
      <c r="C14" s="6" t="s">
        <v>14</v>
      </c>
      <c r="D14" s="6" t="s">
        <v>49</v>
      </c>
      <c r="E14" s="6" t="s">
        <v>16</v>
      </c>
      <c r="F14" s="7" t="s">
        <v>17</v>
      </c>
      <c r="G14" s="6">
        <v>37.46</v>
      </c>
      <c r="H14" s="6">
        <v>44.895810000000004</v>
      </c>
      <c r="I14" s="6">
        <v>269.37486000000001</v>
      </c>
    </row>
    <row r="15" spans="1:9">
      <c r="A15" s="6" t="s">
        <v>50</v>
      </c>
      <c r="B15" s="6" t="s">
        <v>51</v>
      </c>
      <c r="C15" s="6" t="s">
        <v>14</v>
      </c>
      <c r="D15" s="6" t="s">
        <v>52</v>
      </c>
      <c r="E15" s="6" t="s">
        <v>16</v>
      </c>
      <c r="F15" s="7" t="s">
        <v>17</v>
      </c>
      <c r="G15" s="6">
        <v>53</v>
      </c>
      <c r="H15" s="6">
        <v>63.520500000000006</v>
      </c>
      <c r="I15" s="6">
        <v>381.12300000000005</v>
      </c>
    </row>
    <row r="16" spans="1:9">
      <c r="A16" s="6" t="s">
        <v>53</v>
      </c>
      <c r="B16" s="6" t="s">
        <v>54</v>
      </c>
      <c r="C16" s="6" t="s">
        <v>14</v>
      </c>
      <c r="D16" s="6" t="s">
        <v>55</v>
      </c>
      <c r="E16" s="6" t="s">
        <v>16</v>
      </c>
      <c r="F16" s="7" t="s">
        <v>56</v>
      </c>
      <c r="G16" s="6">
        <v>67.83</v>
      </c>
      <c r="H16" s="6">
        <v>81.294255000000007</v>
      </c>
      <c r="I16" s="6">
        <v>2357.5333950000004</v>
      </c>
    </row>
    <row r="17" spans="1:9">
      <c r="A17" s="6" t="s">
        <v>57</v>
      </c>
      <c r="B17" s="6" t="s">
        <v>58</v>
      </c>
      <c r="C17" s="6" t="s">
        <v>14</v>
      </c>
      <c r="D17" s="6" t="s">
        <v>59</v>
      </c>
      <c r="E17" s="6" t="s">
        <v>16</v>
      </c>
      <c r="F17" s="7" t="s">
        <v>60</v>
      </c>
      <c r="G17" s="6">
        <v>96.14</v>
      </c>
      <c r="H17" s="6">
        <v>115.22379000000001</v>
      </c>
      <c r="I17" s="6">
        <v>2074.0282200000001</v>
      </c>
    </row>
    <row r="18" spans="1:9">
      <c r="A18" s="6" t="s">
        <v>61</v>
      </c>
      <c r="B18" s="6" t="s">
        <v>62</v>
      </c>
      <c r="C18" s="6" t="s">
        <v>14</v>
      </c>
      <c r="D18" s="6" t="s">
        <v>63</v>
      </c>
      <c r="E18" s="6" t="s">
        <v>16</v>
      </c>
      <c r="F18" s="7" t="s">
        <v>64</v>
      </c>
      <c r="G18" s="6">
        <v>9.4700000000000006</v>
      </c>
      <c r="H18" s="6">
        <v>11.349795000000002</v>
      </c>
      <c r="I18" s="6">
        <v>578.83954500000016</v>
      </c>
    </row>
    <row r="19" spans="1:9">
      <c r="A19" s="6" t="s">
        <v>65</v>
      </c>
      <c r="B19" s="6" t="s">
        <v>66</v>
      </c>
      <c r="C19" s="6" t="s">
        <v>14</v>
      </c>
      <c r="D19" s="6" t="s">
        <v>67</v>
      </c>
      <c r="E19" s="6" t="s">
        <v>16</v>
      </c>
      <c r="F19" s="7" t="s">
        <v>68</v>
      </c>
      <c r="G19" s="6">
        <v>1.02</v>
      </c>
      <c r="H19" s="6">
        <v>1.2224700000000002</v>
      </c>
      <c r="I19" s="6">
        <v>19.559520000000003</v>
      </c>
    </row>
    <row r="20" spans="1:9">
      <c r="A20" s="6" t="s">
        <v>69</v>
      </c>
      <c r="B20" s="6" t="s">
        <v>70</v>
      </c>
      <c r="C20" s="6" t="s">
        <v>14</v>
      </c>
      <c r="D20" s="6" t="s">
        <v>71</v>
      </c>
      <c r="E20" s="6" t="s">
        <v>16</v>
      </c>
      <c r="F20" s="7" t="s">
        <v>72</v>
      </c>
      <c r="G20" s="6">
        <v>7.93</v>
      </c>
      <c r="H20" s="6">
        <v>9.5041050000000009</v>
      </c>
      <c r="I20" s="6">
        <v>408.67651500000005</v>
      </c>
    </row>
    <row r="21" spans="1:9">
      <c r="A21" s="6" t="s">
        <v>73</v>
      </c>
      <c r="B21" s="6" t="s">
        <v>74</v>
      </c>
      <c r="C21" s="6" t="s">
        <v>14</v>
      </c>
      <c r="D21" s="6" t="s">
        <v>75</v>
      </c>
      <c r="E21" s="6" t="s">
        <v>16</v>
      </c>
      <c r="F21" s="7" t="s">
        <v>76</v>
      </c>
      <c r="G21" s="6">
        <v>25.74</v>
      </c>
      <c r="H21" s="6">
        <v>30.84939</v>
      </c>
      <c r="I21" s="6">
        <v>1018.02987</v>
      </c>
    </row>
    <row r="22" spans="1:9">
      <c r="A22" s="6" t="s">
        <v>77</v>
      </c>
      <c r="B22" s="6" t="s">
        <v>78</v>
      </c>
      <c r="C22" s="6" t="s">
        <v>14</v>
      </c>
      <c r="D22" s="6" t="s">
        <v>79</v>
      </c>
      <c r="E22" s="6" t="s">
        <v>16</v>
      </c>
      <c r="F22" s="7" t="s">
        <v>80</v>
      </c>
      <c r="G22" s="6">
        <v>9.33</v>
      </c>
      <c r="H22" s="6">
        <v>11.182005000000002</v>
      </c>
      <c r="I22" s="6">
        <v>592.64626500000008</v>
      </c>
    </row>
    <row r="23" spans="1:9">
      <c r="A23" s="6" t="s">
        <v>81</v>
      </c>
      <c r="B23" s="6" t="s">
        <v>82</v>
      </c>
      <c r="C23" s="6" t="s">
        <v>14</v>
      </c>
      <c r="D23" s="6" t="s">
        <v>83</v>
      </c>
      <c r="E23" s="6" t="s">
        <v>16</v>
      </c>
      <c r="F23" s="7" t="s">
        <v>17</v>
      </c>
      <c r="G23" s="6">
        <v>22.18</v>
      </c>
      <c r="H23" s="6">
        <v>26.582730000000002</v>
      </c>
      <c r="I23" s="6">
        <v>159.49638000000002</v>
      </c>
    </row>
    <row r="24" spans="1:9">
      <c r="A24" s="6" t="s">
        <v>84</v>
      </c>
      <c r="B24" s="6" t="s">
        <v>85</v>
      </c>
      <c r="C24" s="6" t="s">
        <v>14</v>
      </c>
      <c r="D24" s="6" t="s">
        <v>86</v>
      </c>
      <c r="E24" s="6" t="s">
        <v>16</v>
      </c>
      <c r="F24" s="7" t="s">
        <v>87</v>
      </c>
      <c r="G24" s="6">
        <v>18.53</v>
      </c>
      <c r="H24" s="6">
        <v>22.208205000000003</v>
      </c>
      <c r="I24" s="6">
        <v>977.16102000000012</v>
      </c>
    </row>
    <row r="25" spans="1:9">
      <c r="A25" s="6" t="s">
        <v>88</v>
      </c>
      <c r="B25" s="6" t="s">
        <v>89</v>
      </c>
      <c r="C25" s="6" t="s">
        <v>14</v>
      </c>
      <c r="D25" s="6" t="s">
        <v>90</v>
      </c>
      <c r="E25" s="6" t="s">
        <v>91</v>
      </c>
      <c r="F25" s="7" t="s">
        <v>92</v>
      </c>
      <c r="G25" s="6">
        <v>3.48</v>
      </c>
      <c r="H25" s="6">
        <v>4.1707800000000006</v>
      </c>
      <c r="I25" s="6">
        <v>3708.4073292000003</v>
      </c>
    </row>
    <row r="26" spans="1:9">
      <c r="A26" s="6" t="s">
        <v>93</v>
      </c>
      <c r="B26" s="6" t="s">
        <v>94</v>
      </c>
      <c r="C26" s="6" t="s">
        <v>14</v>
      </c>
      <c r="D26" s="6" t="s">
        <v>95</v>
      </c>
      <c r="E26" s="6" t="s">
        <v>91</v>
      </c>
      <c r="F26" s="7" t="s">
        <v>96</v>
      </c>
      <c r="G26" s="6">
        <v>7.77</v>
      </c>
      <c r="H26" s="6">
        <v>9.3123450000000005</v>
      </c>
      <c r="I26" s="6">
        <v>4.7492959500000005</v>
      </c>
    </row>
    <row r="27" spans="1:9">
      <c r="A27" s="6" t="s">
        <v>97</v>
      </c>
      <c r="B27" s="6" t="s">
        <v>98</v>
      </c>
      <c r="C27" s="6" t="s">
        <v>14</v>
      </c>
      <c r="D27" s="6" t="s">
        <v>99</v>
      </c>
      <c r="E27" s="6" t="s">
        <v>91</v>
      </c>
      <c r="F27" s="7" t="s">
        <v>100</v>
      </c>
      <c r="G27" s="6">
        <v>20.96</v>
      </c>
      <c r="H27" s="6">
        <v>25.120560000000005</v>
      </c>
      <c r="I27" s="6">
        <v>7886.3486064000017</v>
      </c>
    </row>
    <row r="28" spans="1:9">
      <c r="A28" s="6" t="s">
        <v>101</v>
      </c>
      <c r="B28" s="6" t="s">
        <v>102</v>
      </c>
      <c r="C28" s="6" t="s">
        <v>14</v>
      </c>
      <c r="D28" s="6" t="s">
        <v>103</v>
      </c>
      <c r="E28" s="6" t="s">
        <v>91</v>
      </c>
      <c r="F28" s="7" t="s">
        <v>104</v>
      </c>
      <c r="G28" s="6">
        <v>13.01</v>
      </c>
      <c r="H28" s="6">
        <v>15.592485000000002</v>
      </c>
      <c r="I28" s="6">
        <v>2940.2748964500001</v>
      </c>
    </row>
    <row r="29" spans="1:9">
      <c r="A29" s="6" t="s">
        <v>105</v>
      </c>
      <c r="B29" s="6" t="s">
        <v>3338</v>
      </c>
      <c r="C29" s="6" t="s">
        <v>14</v>
      </c>
      <c r="D29" s="6" t="s">
        <v>3339</v>
      </c>
      <c r="E29" s="6" t="s">
        <v>16</v>
      </c>
      <c r="F29" s="7" t="s">
        <v>107</v>
      </c>
      <c r="G29" s="6">
        <v>18.53</v>
      </c>
      <c r="H29" s="6">
        <v>22.208205000000003</v>
      </c>
      <c r="I29" s="6">
        <v>244.29025500000003</v>
      </c>
    </row>
    <row r="30" spans="1:9">
      <c r="A30" s="6" t="s">
        <v>108</v>
      </c>
      <c r="B30" s="6" t="s">
        <v>109</v>
      </c>
      <c r="C30" s="6" t="s">
        <v>32</v>
      </c>
      <c r="D30" s="6" t="s">
        <v>110</v>
      </c>
      <c r="E30" s="6" t="s">
        <v>16</v>
      </c>
      <c r="F30" s="7" t="s">
        <v>111</v>
      </c>
      <c r="G30" s="6">
        <v>14.07</v>
      </c>
      <c r="H30" s="6">
        <v>16.862895000000002</v>
      </c>
      <c r="I30" s="6">
        <v>33.725790000000003</v>
      </c>
    </row>
    <row r="31" spans="1:9">
      <c r="A31" s="6" t="s">
        <v>112</v>
      </c>
      <c r="B31" s="6" t="s">
        <v>113</v>
      </c>
      <c r="C31" s="6" t="s">
        <v>14</v>
      </c>
      <c r="D31" s="6" t="s">
        <v>114</v>
      </c>
      <c r="E31" s="6" t="s">
        <v>16</v>
      </c>
      <c r="F31" s="7" t="s">
        <v>115</v>
      </c>
      <c r="G31" s="6">
        <v>0.74</v>
      </c>
      <c r="H31" s="6">
        <v>0.88689000000000007</v>
      </c>
      <c r="I31" s="6">
        <v>198.66336000000001</v>
      </c>
    </row>
    <row r="32" spans="1:9">
      <c r="A32" s="6" t="s">
        <v>116</v>
      </c>
      <c r="B32" s="6" t="s">
        <v>117</v>
      </c>
      <c r="C32" s="6" t="s">
        <v>14</v>
      </c>
      <c r="D32" s="6" t="s">
        <v>118</v>
      </c>
      <c r="E32" s="6" t="s">
        <v>16</v>
      </c>
      <c r="F32" s="7" t="s">
        <v>17</v>
      </c>
      <c r="G32" s="6">
        <v>3.67</v>
      </c>
      <c r="H32" s="6">
        <v>4.3984950000000005</v>
      </c>
      <c r="I32" s="6">
        <v>26.390970000000003</v>
      </c>
    </row>
    <row r="33" spans="1:9">
      <c r="A33" s="6" t="s">
        <v>119</v>
      </c>
      <c r="B33" s="6" t="s">
        <v>120</v>
      </c>
      <c r="C33" s="6" t="s">
        <v>14</v>
      </c>
      <c r="D33" s="6" t="s">
        <v>121</v>
      </c>
      <c r="E33" s="6" t="s">
        <v>16</v>
      </c>
      <c r="F33" s="7" t="s">
        <v>29</v>
      </c>
      <c r="G33" s="6">
        <v>12.56</v>
      </c>
      <c r="H33" s="6">
        <v>15.053160000000002</v>
      </c>
      <c r="I33" s="6">
        <v>120.42528000000001</v>
      </c>
    </row>
    <row r="34" spans="1:9" ht="36.75">
      <c r="A34" s="6" t="s">
        <v>122</v>
      </c>
      <c r="B34" s="6" t="s">
        <v>123</v>
      </c>
      <c r="C34" s="6" t="s">
        <v>14</v>
      </c>
      <c r="D34" s="6" t="s">
        <v>124</v>
      </c>
      <c r="E34" s="6" t="s">
        <v>16</v>
      </c>
      <c r="F34" s="7" t="s">
        <v>125</v>
      </c>
      <c r="G34" s="6">
        <v>1014.26</v>
      </c>
      <c r="H34" s="6">
        <v>1215.5906100000002</v>
      </c>
      <c r="I34" s="6">
        <v>12155.906100000002</v>
      </c>
    </row>
    <row r="35" spans="1:9">
      <c r="A35" s="6" t="s">
        <v>126</v>
      </c>
      <c r="B35" s="6" t="s">
        <v>127</v>
      </c>
      <c r="C35" s="6" t="s">
        <v>14</v>
      </c>
      <c r="D35" s="6" t="s">
        <v>128</v>
      </c>
      <c r="E35" s="6" t="s">
        <v>16</v>
      </c>
      <c r="F35" s="7" t="s">
        <v>129</v>
      </c>
      <c r="G35" s="6">
        <v>29.16</v>
      </c>
      <c r="H35" s="6">
        <v>34.948260000000005</v>
      </c>
      <c r="I35" s="6">
        <v>1747.4130000000002</v>
      </c>
    </row>
    <row r="36" spans="1:9" ht="24.75">
      <c r="A36" s="6" t="s">
        <v>130</v>
      </c>
      <c r="B36" s="6" t="s">
        <v>131</v>
      </c>
      <c r="C36" s="6" t="s">
        <v>14</v>
      </c>
      <c r="D36" s="6" t="s">
        <v>132</v>
      </c>
      <c r="E36" s="6" t="s">
        <v>16</v>
      </c>
      <c r="F36" s="7" t="s">
        <v>125</v>
      </c>
      <c r="G36" s="6">
        <v>838.5</v>
      </c>
      <c r="H36" s="6">
        <v>1004.9422500000001</v>
      </c>
      <c r="I36" s="6">
        <v>10049.422500000001</v>
      </c>
    </row>
    <row r="37" spans="1:9">
      <c r="A37" s="6" t="s">
        <v>133</v>
      </c>
      <c r="B37" s="6" t="s">
        <v>134</v>
      </c>
      <c r="C37" s="6" t="s">
        <v>14</v>
      </c>
      <c r="D37" s="6" t="s">
        <v>135</v>
      </c>
      <c r="E37" s="6" t="s">
        <v>16</v>
      </c>
      <c r="F37" s="7" t="s">
        <v>136</v>
      </c>
      <c r="G37" s="6">
        <v>128.4</v>
      </c>
      <c r="H37" s="6">
        <v>153.88740000000001</v>
      </c>
      <c r="I37" s="6">
        <v>1384.9866000000002</v>
      </c>
    </row>
    <row r="38" spans="1:9">
      <c r="A38" s="6" t="s">
        <v>137</v>
      </c>
      <c r="B38" s="6" t="s">
        <v>138</v>
      </c>
      <c r="C38" s="6" t="s">
        <v>14</v>
      </c>
      <c r="D38" s="6" t="s">
        <v>139</v>
      </c>
      <c r="E38" s="6" t="s">
        <v>16</v>
      </c>
      <c r="F38" s="7" t="s">
        <v>17</v>
      </c>
      <c r="G38" s="6">
        <v>2.77</v>
      </c>
      <c r="H38" s="6">
        <v>3.3198450000000004</v>
      </c>
      <c r="I38" s="6">
        <v>19.919070000000001</v>
      </c>
    </row>
    <row r="39" spans="1:9">
      <c r="A39" s="8" t="s">
        <v>140</v>
      </c>
      <c r="B39" s="8" t="s">
        <v>141</v>
      </c>
      <c r="C39" s="8" t="s">
        <v>32</v>
      </c>
      <c r="D39" s="8" t="s">
        <v>142</v>
      </c>
      <c r="E39" s="8" t="s">
        <v>16</v>
      </c>
      <c r="F39" s="9" t="s">
        <v>143</v>
      </c>
      <c r="G39" s="8">
        <v>5.15</v>
      </c>
      <c r="H39" s="8">
        <v>6.1722750000000008</v>
      </c>
      <c r="I39" s="8">
        <v>1499.8628250000002</v>
      </c>
    </row>
    <row r="40" spans="1:9">
      <c r="A40" s="6" t="s">
        <v>144</v>
      </c>
      <c r="B40" s="6" t="s">
        <v>145</v>
      </c>
      <c r="C40" s="6" t="s">
        <v>14</v>
      </c>
      <c r="D40" s="6" t="s">
        <v>146</v>
      </c>
      <c r="E40" s="6" t="s">
        <v>16</v>
      </c>
      <c r="F40" s="7" t="s">
        <v>147</v>
      </c>
      <c r="G40" s="6">
        <v>9.67</v>
      </c>
      <c r="H40" s="6">
        <v>11.589495000000001</v>
      </c>
      <c r="I40" s="6">
        <v>57.947475000000004</v>
      </c>
    </row>
    <row r="41" spans="1:9">
      <c r="A41" s="6" t="s">
        <v>148</v>
      </c>
      <c r="B41" s="6" t="s">
        <v>149</v>
      </c>
      <c r="C41" s="6" t="s">
        <v>14</v>
      </c>
      <c r="D41" s="6" t="s">
        <v>150</v>
      </c>
      <c r="E41" s="6" t="s">
        <v>16</v>
      </c>
      <c r="F41" s="7" t="s">
        <v>151</v>
      </c>
      <c r="G41" s="6">
        <v>2.4500000000000002</v>
      </c>
      <c r="H41" s="6">
        <v>2.9363250000000005</v>
      </c>
      <c r="I41" s="6">
        <v>719.39962500000013</v>
      </c>
    </row>
    <row r="42" spans="1:9">
      <c r="A42" s="6" t="s">
        <v>152</v>
      </c>
      <c r="B42" s="6" t="s">
        <v>153</v>
      </c>
      <c r="C42" s="6" t="s">
        <v>14</v>
      </c>
      <c r="D42" s="6" t="s">
        <v>154</v>
      </c>
      <c r="E42" s="6" t="s">
        <v>16</v>
      </c>
      <c r="F42" s="7" t="s">
        <v>155</v>
      </c>
      <c r="G42" s="6">
        <v>10.74</v>
      </c>
      <c r="H42" s="6">
        <v>12.871890000000002</v>
      </c>
      <c r="I42" s="6">
        <v>1081.2387600000002</v>
      </c>
    </row>
    <row r="43" spans="1:9">
      <c r="A43" s="6" t="s">
        <v>156</v>
      </c>
      <c r="B43" s="6" t="s">
        <v>157</v>
      </c>
      <c r="C43" s="6" t="s">
        <v>14</v>
      </c>
      <c r="D43" s="6" t="s">
        <v>158</v>
      </c>
      <c r="E43" s="6" t="s">
        <v>16</v>
      </c>
      <c r="F43" s="7" t="s">
        <v>159</v>
      </c>
      <c r="G43" s="6">
        <v>1.45</v>
      </c>
      <c r="H43" s="6">
        <v>1.7378250000000002</v>
      </c>
      <c r="I43" s="6">
        <v>39.969975000000005</v>
      </c>
    </row>
    <row r="44" spans="1:9">
      <c r="A44" s="6" t="s">
        <v>160</v>
      </c>
      <c r="B44" s="6" t="s">
        <v>161</v>
      </c>
      <c r="C44" s="6" t="s">
        <v>14</v>
      </c>
      <c r="D44" s="6" t="s">
        <v>162</v>
      </c>
      <c r="E44" s="6" t="s">
        <v>16</v>
      </c>
      <c r="F44" s="7" t="s">
        <v>46</v>
      </c>
      <c r="G44" s="6">
        <v>0.61</v>
      </c>
      <c r="H44" s="6">
        <v>0.7310850000000001</v>
      </c>
      <c r="I44" s="6">
        <v>42.402930000000005</v>
      </c>
    </row>
    <row r="45" spans="1:9">
      <c r="A45" s="6" t="s">
        <v>163</v>
      </c>
      <c r="B45" s="6" t="s">
        <v>164</v>
      </c>
      <c r="C45" s="6" t="s">
        <v>36</v>
      </c>
      <c r="D45" s="6" t="s">
        <v>165</v>
      </c>
      <c r="E45" s="6" t="s">
        <v>16</v>
      </c>
      <c r="F45" s="7" t="s">
        <v>42</v>
      </c>
      <c r="G45" s="6">
        <v>60.03</v>
      </c>
      <c r="H45" s="6">
        <v>71.945955000000012</v>
      </c>
      <c r="I45" s="6">
        <v>71.945955000000012</v>
      </c>
    </row>
    <row r="46" spans="1:9">
      <c r="A46" s="6" t="s">
        <v>166</v>
      </c>
      <c r="B46" s="6" t="s">
        <v>167</v>
      </c>
      <c r="C46" s="6" t="s">
        <v>14</v>
      </c>
      <c r="D46" s="6" t="s">
        <v>168</v>
      </c>
      <c r="E46" s="6" t="s">
        <v>16</v>
      </c>
      <c r="F46" s="7" t="s">
        <v>21</v>
      </c>
      <c r="G46" s="6">
        <v>4.2300000000000004</v>
      </c>
      <c r="H46" s="6">
        <v>5.0696550000000009</v>
      </c>
      <c r="I46" s="6">
        <v>141.95034000000004</v>
      </c>
    </row>
    <row r="47" spans="1:9">
      <c r="A47" s="6" t="s">
        <v>169</v>
      </c>
      <c r="B47" s="6" t="s">
        <v>170</v>
      </c>
      <c r="C47" s="6" t="s">
        <v>14</v>
      </c>
      <c r="D47" s="6" t="s">
        <v>171</v>
      </c>
      <c r="E47" s="6" t="s">
        <v>16</v>
      </c>
      <c r="F47" s="7" t="s">
        <v>56</v>
      </c>
      <c r="G47" s="6">
        <v>20.8</v>
      </c>
      <c r="H47" s="6">
        <v>24.928800000000003</v>
      </c>
      <c r="I47" s="6">
        <v>722.93520000000012</v>
      </c>
    </row>
    <row r="48" spans="1:9">
      <c r="A48" s="6" t="s">
        <v>172</v>
      </c>
      <c r="B48" s="6" t="s">
        <v>173</v>
      </c>
      <c r="C48" s="6" t="s">
        <v>14</v>
      </c>
      <c r="D48" s="6" t="s">
        <v>174</v>
      </c>
      <c r="E48" s="6" t="s">
        <v>16</v>
      </c>
      <c r="F48" s="7" t="s">
        <v>175</v>
      </c>
      <c r="G48" s="6">
        <v>6.77</v>
      </c>
      <c r="H48" s="6">
        <v>8.1138449999999995</v>
      </c>
      <c r="I48" s="6">
        <v>559.85530499999993</v>
      </c>
    </row>
    <row r="49" spans="1:9">
      <c r="A49" s="6" t="s">
        <v>176</v>
      </c>
      <c r="B49" s="6" t="s">
        <v>177</v>
      </c>
      <c r="C49" s="6" t="s">
        <v>14</v>
      </c>
      <c r="D49" s="6" t="s">
        <v>178</v>
      </c>
      <c r="E49" s="6" t="s">
        <v>16</v>
      </c>
      <c r="F49" s="7" t="s">
        <v>179</v>
      </c>
      <c r="G49" s="6">
        <v>24.3</v>
      </c>
      <c r="H49" s="6">
        <v>29.123550000000005</v>
      </c>
      <c r="I49" s="6">
        <v>582.47100000000012</v>
      </c>
    </row>
    <row r="50" spans="1:9">
      <c r="A50" s="6" t="s">
        <v>180</v>
      </c>
      <c r="B50" s="6" t="s">
        <v>181</v>
      </c>
      <c r="C50" s="6" t="s">
        <v>14</v>
      </c>
      <c r="D50" s="6" t="s">
        <v>182</v>
      </c>
      <c r="E50" s="6" t="s">
        <v>16</v>
      </c>
      <c r="F50" s="7" t="s">
        <v>87</v>
      </c>
      <c r="G50" s="6">
        <v>71.36</v>
      </c>
      <c r="H50" s="6">
        <v>85.524960000000007</v>
      </c>
      <c r="I50" s="6">
        <v>3763.0982400000003</v>
      </c>
    </row>
    <row r="51" spans="1:9">
      <c r="A51" s="6" t="s">
        <v>183</v>
      </c>
      <c r="B51" s="6" t="s">
        <v>184</v>
      </c>
      <c r="C51" s="6" t="s">
        <v>14</v>
      </c>
      <c r="D51" s="6" t="s">
        <v>185</v>
      </c>
      <c r="E51" s="6" t="s">
        <v>16</v>
      </c>
      <c r="F51" s="7" t="s">
        <v>186</v>
      </c>
      <c r="G51" s="6">
        <v>96.38</v>
      </c>
      <c r="H51" s="6">
        <v>115.51143</v>
      </c>
      <c r="I51" s="6">
        <v>462.04572000000002</v>
      </c>
    </row>
    <row r="52" spans="1:9">
      <c r="A52" s="6" t="s">
        <v>187</v>
      </c>
      <c r="B52" s="6" t="s">
        <v>188</v>
      </c>
      <c r="C52" s="6" t="s">
        <v>14</v>
      </c>
      <c r="D52" s="6" t="s">
        <v>189</v>
      </c>
      <c r="E52" s="6" t="s">
        <v>16</v>
      </c>
      <c r="F52" s="7" t="s">
        <v>29</v>
      </c>
      <c r="G52" s="6">
        <v>176.26</v>
      </c>
      <c r="H52" s="6">
        <v>211.24761000000001</v>
      </c>
      <c r="I52" s="6">
        <v>1689.9808800000001</v>
      </c>
    </row>
    <row r="53" spans="1:9">
      <c r="A53" s="6" t="s">
        <v>190</v>
      </c>
      <c r="B53" s="6" t="s">
        <v>191</v>
      </c>
      <c r="C53" s="6" t="s">
        <v>32</v>
      </c>
      <c r="D53" s="6" t="s">
        <v>192</v>
      </c>
      <c r="E53" s="6" t="s">
        <v>16</v>
      </c>
      <c r="F53" s="7" t="s">
        <v>25</v>
      </c>
      <c r="G53" s="6">
        <v>105.02</v>
      </c>
      <c r="H53" s="6">
        <v>125.86647000000001</v>
      </c>
      <c r="I53" s="6">
        <v>377.59941000000003</v>
      </c>
    </row>
    <row r="54" spans="1:9">
      <c r="A54" s="6" t="s">
        <v>193</v>
      </c>
      <c r="B54" s="6" t="s">
        <v>194</v>
      </c>
      <c r="C54" s="6" t="s">
        <v>32</v>
      </c>
      <c r="D54" s="6" t="s">
        <v>195</v>
      </c>
      <c r="E54" s="6" t="s">
        <v>16</v>
      </c>
      <c r="F54" s="7" t="s">
        <v>64</v>
      </c>
      <c r="G54" s="6">
        <v>43.43</v>
      </c>
      <c r="H54" s="6">
        <v>52.050855000000006</v>
      </c>
      <c r="I54" s="6">
        <v>2654.5936050000005</v>
      </c>
    </row>
    <row r="55" spans="1:9" ht="24.75">
      <c r="A55" s="8" t="s">
        <v>196</v>
      </c>
      <c r="B55" s="8" t="s">
        <v>197</v>
      </c>
      <c r="C55" s="8" t="s">
        <v>198</v>
      </c>
      <c r="D55" s="8" t="s">
        <v>199</v>
      </c>
      <c r="E55" s="8" t="s">
        <v>16</v>
      </c>
      <c r="F55" s="9" t="s">
        <v>29</v>
      </c>
      <c r="G55" s="8">
        <v>3012.19</v>
      </c>
      <c r="H55" s="8">
        <v>3610.1097150000005</v>
      </c>
      <c r="I55" s="8">
        <v>28880.877720000004</v>
      </c>
    </row>
    <row r="56" spans="1:9">
      <c r="I56" s="2">
        <v>100583.41497300001</v>
      </c>
    </row>
  </sheetData>
  <mergeCells count="1">
    <mergeCell ref="A1:I2"/>
  </mergeCells>
  <hyperlinks>
    <hyperlink ref="A5" location="'13.2'!A1" display="13.2" xr:uid="{00000000-0004-0000-0000-000000000000}"/>
    <hyperlink ref="A6" location="'13.2.1'!A1" display="13.2.1" xr:uid="{00000000-0004-0000-0000-000001000000}"/>
    <hyperlink ref="F6" location="'13.2.1E'!A1" display="6,00" xr:uid="{00000000-0004-0000-0000-000002000000}"/>
    <hyperlink ref="A7" location="'13.2.2'!A1" display="13.2.2" xr:uid="{00000000-0004-0000-0000-000003000000}"/>
    <hyperlink ref="F7" location="'13.2.2E'!A1" display="28,00" xr:uid="{00000000-0004-0000-0000-000004000000}"/>
    <hyperlink ref="A8" location="'13.2.3'!A1" display="13.2.3" xr:uid="{00000000-0004-0000-0000-000005000000}"/>
    <hyperlink ref="F8" location="'13.2.3E'!A1" display="3,00" xr:uid="{00000000-0004-0000-0000-000006000000}"/>
    <hyperlink ref="A9" location="'13.2.4'!A1" display="13.2.4" xr:uid="{00000000-0004-0000-0000-000007000000}"/>
    <hyperlink ref="F9" location="'13.2.4E'!A1" display="8,00" xr:uid="{00000000-0004-0000-0000-000008000000}"/>
    <hyperlink ref="A10" location="'13.2.5'!A1" display="13.2.5" xr:uid="{00000000-0004-0000-0000-000009000000}"/>
    <hyperlink ref="F10" location="'13.2.5E'!A1" display="3,00" xr:uid="{00000000-0004-0000-0000-00000A000000}"/>
    <hyperlink ref="A11" location="'13.2.6'!A1" display="13.2.6" xr:uid="{00000000-0004-0000-0000-00000B000000}"/>
    <hyperlink ref="F11" location="'13.2.6E'!A1" display="125,00" xr:uid="{00000000-0004-0000-0000-00000C000000}"/>
    <hyperlink ref="A12" location="'13.2.7'!A1" display="13.2.7" xr:uid="{00000000-0004-0000-0000-00000D000000}"/>
    <hyperlink ref="F12" location="'13.2.7E'!A1" display="1,00" xr:uid="{00000000-0004-0000-0000-00000E000000}"/>
    <hyperlink ref="A13" location="'13.2.8'!A1" display="13.2.8" xr:uid="{00000000-0004-0000-0000-00000F000000}"/>
    <hyperlink ref="F13" location="'13.2.8E'!A1" display="58,00" xr:uid="{00000000-0004-0000-0000-000010000000}"/>
    <hyperlink ref="A14" location="'13.2.9'!A1" display="13.2.9" xr:uid="{00000000-0004-0000-0000-000011000000}"/>
    <hyperlink ref="F14" location="'13.2.9E'!A1" display="6,00" xr:uid="{00000000-0004-0000-0000-000012000000}"/>
    <hyperlink ref="A15" location="'13.2.10'!A1" display="13.2.10" xr:uid="{00000000-0004-0000-0000-000013000000}"/>
    <hyperlink ref="F15" location="'13.2.10E'!A1" display="6,00" xr:uid="{00000000-0004-0000-0000-000014000000}"/>
    <hyperlink ref="A16" location="'13.2.11'!A1" display="13.2.11" xr:uid="{00000000-0004-0000-0000-000015000000}"/>
    <hyperlink ref="F16" location="'13.2.11E'!A1" display="29,00" xr:uid="{00000000-0004-0000-0000-000016000000}"/>
    <hyperlink ref="A17" location="'13.2.12'!A1" display="13.2.12" xr:uid="{00000000-0004-0000-0000-000017000000}"/>
    <hyperlink ref="F17" location="'13.2.12E'!A1" display="18,00" xr:uid="{00000000-0004-0000-0000-000018000000}"/>
    <hyperlink ref="A18" location="'13.2.13'!A1" display="13.2.13" xr:uid="{00000000-0004-0000-0000-000019000000}"/>
    <hyperlink ref="F18" location="'13.2.13E'!A1" display="51,00" xr:uid="{00000000-0004-0000-0000-00001A000000}"/>
    <hyperlink ref="A19" location="'13.2.14'!A1" display="13.2.14" xr:uid="{00000000-0004-0000-0000-00001B000000}"/>
    <hyperlink ref="F19" location="'13.2.14E'!A1" display="16,00" xr:uid="{00000000-0004-0000-0000-00001C000000}"/>
    <hyperlink ref="A20" location="'13.2.15'!A1" display="13.2.15" xr:uid="{00000000-0004-0000-0000-00001D000000}"/>
    <hyperlink ref="F20" location="'13.2.15E'!A1" display="43,00" xr:uid="{00000000-0004-0000-0000-00001E000000}"/>
    <hyperlink ref="A21" location="'13.2.16'!A1" display="13.2.16" xr:uid="{00000000-0004-0000-0000-00001F000000}"/>
    <hyperlink ref="F21" location="'13.2.16E'!A1" display="33,00" xr:uid="{00000000-0004-0000-0000-000020000000}"/>
    <hyperlink ref="A22" location="'13.2.17'!A1" display="13.2.17" xr:uid="{00000000-0004-0000-0000-000021000000}"/>
    <hyperlink ref="F22" location="'13.2.17E'!A1" display="53,00" xr:uid="{00000000-0004-0000-0000-000022000000}"/>
    <hyperlink ref="A23" location="'13.2.18'!A1" display="13.2.18" xr:uid="{00000000-0004-0000-0000-000023000000}"/>
    <hyperlink ref="F23" location="'13.2.18E'!A1" display="6,00" xr:uid="{00000000-0004-0000-0000-000024000000}"/>
    <hyperlink ref="A24" location="'13.2.19'!A1" display="13.2.19" xr:uid="{00000000-0004-0000-0000-000025000000}"/>
    <hyperlink ref="F24" location="'13.2.19E'!A1" display="44,00" xr:uid="{00000000-0004-0000-0000-000026000000}"/>
    <hyperlink ref="A25" location="'13.2.20'!A1" display="13.2.20" xr:uid="{00000000-0004-0000-0000-000027000000}"/>
    <hyperlink ref="F25" location="'13.2.20E'!A1" display="889,14" xr:uid="{00000000-0004-0000-0000-000028000000}"/>
    <hyperlink ref="A26" location="'13.2.21'!A1" display="13.2.21" xr:uid="{00000000-0004-0000-0000-000029000000}"/>
    <hyperlink ref="F26" location="'13.2.21E'!A1" display="0,51" xr:uid="{00000000-0004-0000-0000-00002A000000}"/>
    <hyperlink ref="A27" location="'13.2.22'!A1" display="13.2.22" xr:uid="{00000000-0004-0000-0000-00002B000000}"/>
    <hyperlink ref="F27" location="'13.2.22E'!A1" display="313,94" xr:uid="{00000000-0004-0000-0000-00002C000000}"/>
    <hyperlink ref="A28" location="'13.2.23'!A1" display="13.2.23" xr:uid="{00000000-0004-0000-0000-00002D000000}"/>
    <hyperlink ref="F28" location="'13.2.23E'!A1" display="188,57" xr:uid="{00000000-0004-0000-0000-00002E000000}"/>
    <hyperlink ref="A29" location="'13.2.24'!A1" display="13.2.24" xr:uid="{00000000-0004-0000-0000-00002F000000}"/>
    <hyperlink ref="F29" location="'13.2.24E'!A1" display="11,00" xr:uid="{00000000-0004-0000-0000-000030000000}"/>
    <hyperlink ref="A30" location="'13.2.25'!A1" display="13.2.25" xr:uid="{00000000-0004-0000-0000-000031000000}"/>
    <hyperlink ref="F30" location="'13.2.25E'!A1" display="2,00" xr:uid="{00000000-0004-0000-0000-000032000000}"/>
    <hyperlink ref="A31" location="'13.2.26'!A1" display="13.2.26" xr:uid="{00000000-0004-0000-0000-000033000000}"/>
    <hyperlink ref="F31" location="'13.2.26E'!A1" display="224,00" xr:uid="{00000000-0004-0000-0000-000034000000}"/>
    <hyperlink ref="A32" location="'13.2.27'!A1" display="13.2.27" xr:uid="{00000000-0004-0000-0000-000035000000}"/>
    <hyperlink ref="F32" location="'13.2.27E'!A1" display="6,00" xr:uid="{00000000-0004-0000-0000-000036000000}"/>
    <hyperlink ref="A33" location="'13.2.28'!A1" display="13.2.28" xr:uid="{00000000-0004-0000-0000-000037000000}"/>
    <hyperlink ref="F33" location="'13.2.28E'!A1" display="8,00" xr:uid="{00000000-0004-0000-0000-000038000000}"/>
    <hyperlink ref="A34" location="'13.2.29'!A1" display="13.2.29" xr:uid="{00000000-0004-0000-0000-000039000000}"/>
    <hyperlink ref="F34" location="'13.2.29E'!A1" display="10,00" xr:uid="{00000000-0004-0000-0000-00003A000000}"/>
    <hyperlink ref="A35" location="'13.2.30'!A1" display="13.2.30" xr:uid="{00000000-0004-0000-0000-00003B000000}"/>
    <hyperlink ref="F35" location="'13.2.30E'!A1" display="50,00" xr:uid="{00000000-0004-0000-0000-00003C000000}"/>
    <hyperlink ref="A36" location="'13.2.31'!A1" display="13.2.31" xr:uid="{00000000-0004-0000-0000-00003D000000}"/>
    <hyperlink ref="F36" location="'13.2.31E'!A1" display="10,00" xr:uid="{00000000-0004-0000-0000-00003E000000}"/>
    <hyperlink ref="A37" location="'13.2.32'!A1" display="13.2.32" xr:uid="{00000000-0004-0000-0000-00003F000000}"/>
    <hyperlink ref="F37" location="'13.2.32E'!A1" display="9,00" xr:uid="{00000000-0004-0000-0000-000040000000}"/>
    <hyperlink ref="A38" location="'13.2.33'!A1" display="13.2.33" xr:uid="{00000000-0004-0000-0000-000041000000}"/>
    <hyperlink ref="F38" location="'13.2.33E'!A1" display="6,00" xr:uid="{00000000-0004-0000-0000-000042000000}"/>
    <hyperlink ref="A39" location="'13.2.34'!A1" display="13.2.34" xr:uid="{00000000-0004-0000-0000-000043000000}"/>
    <hyperlink ref="F39" location="'13.2.34E'!A1" display="243,00" xr:uid="{00000000-0004-0000-0000-000044000000}"/>
    <hyperlink ref="A40" location="'13.2.35'!A1" display="13.2.35" xr:uid="{00000000-0004-0000-0000-000045000000}"/>
    <hyperlink ref="F40" location="'13.2.35E'!A1" display="5,00" xr:uid="{00000000-0004-0000-0000-000046000000}"/>
    <hyperlink ref="A41" location="'13.2.36'!A1" display="13.2.36" xr:uid="{00000000-0004-0000-0000-000047000000}"/>
    <hyperlink ref="F41" location="'13.2.36E'!A1" display="245,00" xr:uid="{00000000-0004-0000-0000-000048000000}"/>
    <hyperlink ref="A42" location="'13.2.37'!A1" display="13.2.37" xr:uid="{00000000-0004-0000-0000-000049000000}"/>
    <hyperlink ref="F42" location="'13.2.37E'!A1" display="84,00" xr:uid="{00000000-0004-0000-0000-00004A000000}"/>
    <hyperlink ref="A43" location="'13.2.38'!A1" display="13.2.38" xr:uid="{00000000-0004-0000-0000-00004B000000}"/>
    <hyperlink ref="F43" location="'13.2.38E'!A1" display="23,00" xr:uid="{00000000-0004-0000-0000-00004C000000}"/>
    <hyperlink ref="A44" location="'13.2.39'!A1" display="13.2.39" xr:uid="{00000000-0004-0000-0000-00004D000000}"/>
    <hyperlink ref="F44" location="'13.2.39E'!A1" display="58,00" xr:uid="{00000000-0004-0000-0000-00004E000000}"/>
    <hyperlink ref="A45" location="'13.2.40'!A1" display="13.2.40" xr:uid="{00000000-0004-0000-0000-00004F000000}"/>
    <hyperlink ref="F45" location="'13.2.40E'!A1" display="1,00" xr:uid="{00000000-0004-0000-0000-000050000000}"/>
    <hyperlink ref="A46" location="'13.2.41'!A1" display="13.2.41" xr:uid="{00000000-0004-0000-0000-000051000000}"/>
    <hyperlink ref="F46" location="'13.2.41E'!A1" display="28,00" xr:uid="{00000000-0004-0000-0000-000052000000}"/>
    <hyperlink ref="A47" location="'13.2.42'!A1" display="13.2.42" xr:uid="{00000000-0004-0000-0000-000053000000}"/>
    <hyperlink ref="F47" location="'13.2.42E'!A1" display="29,00" xr:uid="{00000000-0004-0000-0000-000054000000}"/>
    <hyperlink ref="A48" location="'13.2.43'!A1" display="13.2.43" xr:uid="{00000000-0004-0000-0000-000055000000}"/>
    <hyperlink ref="F48" location="'13.2.43E'!A1" display="69,00" xr:uid="{00000000-0004-0000-0000-000056000000}"/>
    <hyperlink ref="A49" location="'13.2.44'!A1" display="13.2.44" xr:uid="{00000000-0004-0000-0000-000057000000}"/>
    <hyperlink ref="F49" location="'13.2.44E'!A1" display="20,00" xr:uid="{00000000-0004-0000-0000-000058000000}"/>
    <hyperlink ref="A50" location="'13.2.45'!A1" display="13.2.45" xr:uid="{00000000-0004-0000-0000-000059000000}"/>
    <hyperlink ref="F50" location="'13.2.45E'!A1" display="44,00" xr:uid="{00000000-0004-0000-0000-00005A000000}"/>
    <hyperlink ref="A51" location="'13.2.46'!A1" display="13.2.46" xr:uid="{00000000-0004-0000-0000-00005B000000}"/>
    <hyperlink ref="F51" location="'13.2.46E'!A1" display="4,00" xr:uid="{00000000-0004-0000-0000-00005C000000}"/>
    <hyperlink ref="A52" location="'13.2.47'!A1" display="13.2.47" xr:uid="{00000000-0004-0000-0000-00005D000000}"/>
    <hyperlink ref="F52" location="'13.2.47E'!A1" display="8,00" xr:uid="{00000000-0004-0000-0000-00005E000000}"/>
    <hyperlink ref="A53" location="'13.2.48'!A1" display="13.2.48" xr:uid="{00000000-0004-0000-0000-00005F000000}"/>
    <hyperlink ref="F53" location="'13.2.48E'!A1" display="3,00" xr:uid="{00000000-0004-0000-0000-000060000000}"/>
    <hyperlink ref="A54" location="'13.2.49'!A1" display="13.2.49" xr:uid="{00000000-0004-0000-0000-000061000000}"/>
    <hyperlink ref="F54" location="'13.2.49E'!A1" display="51,00" xr:uid="{00000000-0004-0000-0000-000062000000}"/>
    <hyperlink ref="A55" location="'13.2.50'!A1" display="13.2.50" xr:uid="{00000000-0004-0000-0000-000063000000}"/>
    <hyperlink ref="F55" location="'13.2.50E'!A1" display="8,00" xr:uid="{00000000-0004-0000-0000-000064000000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43</v>
      </c>
      <c r="B2" s="6" t="s">
        <v>44</v>
      </c>
      <c r="C2" s="6" t="s">
        <v>14</v>
      </c>
      <c r="D2" s="6" t="s">
        <v>45</v>
      </c>
      <c r="E2" s="6" t="s">
        <v>16</v>
      </c>
      <c r="F2" s="6" t="s">
        <v>247</v>
      </c>
      <c r="G2" s="6">
        <v>63.61</v>
      </c>
      <c r="H2" s="6">
        <v>76.236585000000005</v>
      </c>
      <c r="I2" s="6">
        <v>4421.7219300000006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58</v>
      </c>
      <c r="D8" s="11" t="s">
        <v>239</v>
      </c>
      <c r="E8" s="11">
        <v>58</v>
      </c>
    </row>
    <row r="9" spans="1:9">
      <c r="A9" s="11" t="s">
        <v>207</v>
      </c>
      <c r="B9" s="11" t="s">
        <v>207</v>
      </c>
      <c r="C9" s="11">
        <f>SUBTOTAL(109,Criteria_Summary13.2.8[Elementos])</f>
        <v>58</v>
      </c>
      <c r="D9" s="11" t="s">
        <v>207</v>
      </c>
      <c r="E9" s="11">
        <f>SUBTOTAL(109,Criteria_Summary13.2.8[Total])</f>
        <v>58</v>
      </c>
    </row>
    <row r="10" spans="1:9">
      <c r="A10" s="12" t="s">
        <v>208</v>
      </c>
      <c r="B10" s="12">
        <v>0</v>
      </c>
      <c r="C10" s="13"/>
      <c r="D10" s="13"/>
      <c r="E10" s="12">
        <v>58</v>
      </c>
    </row>
    <row r="13" spans="1:9">
      <c r="A13" s="18" t="s">
        <v>239</v>
      </c>
      <c r="B13" s="18" t="s">
        <v>239</v>
      </c>
      <c r="C13" s="18" t="s">
        <v>239</v>
      </c>
      <c r="D13" s="18" t="s">
        <v>239</v>
      </c>
      <c r="E13" s="18" t="s">
        <v>239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58</v>
      </c>
      <c r="C16" s="21" t="s">
        <v>240</v>
      </c>
      <c r="D16" s="21" t="s">
        <v>240</v>
      </c>
      <c r="E16" s="11">
        <v>58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248</v>
      </c>
      <c r="B24" s="21" t="s">
        <v>248</v>
      </c>
      <c r="C24" s="21" t="s">
        <v>248</v>
      </c>
      <c r="D24" s="11" t="s">
        <v>249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24.75">
      <c r="A28" s="11" t="s">
        <v>220</v>
      </c>
      <c r="B28" s="11" t="s">
        <v>221</v>
      </c>
      <c r="C28" s="11" t="s">
        <v>250</v>
      </c>
      <c r="D28" s="11" t="s">
        <v>223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8" xr:uid="{00000000-0004-0000-0900-000000000000}"/>
    <hyperlink ref="F2" location="'13.2.8E'!A1" display="58" xr:uid="{00000000-0004-0000-0900-000001000000}"/>
    <hyperlink ref="E10" location="'13.2.8E'!A1" display="'13.2.8E'!A1" xr:uid="{00000000-0004-0000-0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300-000000000000}">
  <dimension ref="A1:E1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192</v>
      </c>
      <c r="B1" s="23" t="s">
        <v>192</v>
      </c>
      <c r="C1" s="23" t="s">
        <v>192</v>
      </c>
      <c r="D1" s="23" t="s">
        <v>192</v>
      </c>
      <c r="E1" s="23" t="s">
        <v>192</v>
      </c>
    </row>
    <row r="2" spans="1:5">
      <c r="A2" s="23" t="s">
        <v>192</v>
      </c>
      <c r="B2" s="23" t="s">
        <v>192</v>
      </c>
      <c r="C2" s="23" t="s">
        <v>192</v>
      </c>
      <c r="D2" s="23" t="s">
        <v>192</v>
      </c>
      <c r="E2" s="23" t="s">
        <v>192</v>
      </c>
    </row>
    <row r="4" spans="1:5">
      <c r="A4" s="18" t="s">
        <v>239</v>
      </c>
      <c r="B4" s="18" t="s">
        <v>239</v>
      </c>
      <c r="C4" s="18" t="s">
        <v>239</v>
      </c>
      <c r="D4" s="18" t="s">
        <v>239</v>
      </c>
      <c r="E4" s="18" t="s">
        <v>239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352</v>
      </c>
      <c r="D7" s="11" t="s">
        <v>3276</v>
      </c>
      <c r="E7" s="11">
        <v>1</v>
      </c>
    </row>
    <row r="8" spans="1:5" ht="24.75">
      <c r="A8" s="11" t="s">
        <v>363</v>
      </c>
      <c r="B8" s="11" t="s">
        <v>233</v>
      </c>
      <c r="C8" s="11" t="s">
        <v>352</v>
      </c>
      <c r="D8" s="11" t="s">
        <v>3277</v>
      </c>
      <c r="E8" s="11">
        <v>1</v>
      </c>
    </row>
    <row r="9" spans="1:5" ht="24.75">
      <c r="A9" s="11" t="s">
        <v>363</v>
      </c>
      <c r="B9" s="11" t="s">
        <v>233</v>
      </c>
      <c r="C9" s="11" t="s">
        <v>352</v>
      </c>
      <c r="D9" s="11" t="s">
        <v>3278</v>
      </c>
      <c r="E9" s="11">
        <v>1</v>
      </c>
    </row>
    <row r="10" spans="1:5">
      <c r="A10" s="1" t="s">
        <v>207</v>
      </c>
      <c r="B10" s="1" t="s">
        <v>207</v>
      </c>
      <c r="C10" s="1">
        <f>SUBTOTAL(103,Elements132481[Elemento])</f>
        <v>3</v>
      </c>
      <c r="D10" s="1" t="s">
        <v>207</v>
      </c>
      <c r="E10" s="1">
        <f>SUBTOTAL(109,Elements132481[Totais:])</f>
        <v>3</v>
      </c>
    </row>
  </sheetData>
  <mergeCells count="3">
    <mergeCell ref="A1:E2"/>
    <mergeCell ref="A4:E4"/>
    <mergeCell ref="A5:E5"/>
  </mergeCells>
  <hyperlinks>
    <hyperlink ref="A1" location="'13.2.48'!A1" display="VÁLVULA DE ESFERA BRUTA, BRONZE, ROSCÁVEL, 1 1/2&amp;apos;&amp;apos; - FORNECIMENTO E INSTALAÇÃO. AF_08/2021" xr:uid="{00000000-0004-0000-6300-000000000000}"/>
    <hyperlink ref="B1" location="'13.2.48'!A1" display="VÁLVULA DE ESFERA BRUTA, BRONZE, ROSCÁVEL, 1 1/2&amp;apos;&amp;apos; - FORNECIMENTO E INSTALAÇÃO. AF_08/2021" xr:uid="{00000000-0004-0000-6300-000001000000}"/>
    <hyperlink ref="C1" location="'13.2.48'!A1" display="VÁLVULA DE ESFERA BRUTA, BRONZE, ROSCÁVEL, 1 1/2&amp;apos;&amp;apos; - FORNECIMENTO E INSTALAÇÃO. AF_08/2021" xr:uid="{00000000-0004-0000-6300-000002000000}"/>
    <hyperlink ref="D1" location="'13.2.48'!A1" display="VÁLVULA DE ESFERA BRUTA, BRONZE, ROSCÁVEL, 1 1/2&amp;apos;&amp;apos; - FORNECIMENTO E INSTALAÇÃO. AF_08/2021" xr:uid="{00000000-0004-0000-6300-000003000000}"/>
    <hyperlink ref="E1" location="'13.2.48'!A1" display="VÁLVULA DE ESFERA BRUTA, BRONZE, ROSCÁVEL, 1 1/2&amp;apos;&amp;apos; - FORNECIMENTO E INSTALAÇÃO. AF_08/2021" xr:uid="{00000000-0004-0000-6300-000004000000}"/>
    <hyperlink ref="A2" location="'13.2.48'!A1" display="VÁLVULA DE ESFERA BRUTA, BRONZE, ROSCÁVEL, 1 1/2&amp;apos;&amp;apos; - FORNECIMENTO E INSTALAÇÃO. AF_08/2021" xr:uid="{00000000-0004-0000-6300-000005000000}"/>
    <hyperlink ref="B2" location="'13.2.48'!A1" display="VÁLVULA DE ESFERA BRUTA, BRONZE, ROSCÁVEL, 1 1/2&amp;apos;&amp;apos; - FORNECIMENTO E INSTALAÇÃO. AF_08/2021" xr:uid="{00000000-0004-0000-6300-000006000000}"/>
    <hyperlink ref="C2" location="'13.2.48'!A1" display="VÁLVULA DE ESFERA BRUTA, BRONZE, ROSCÁVEL, 1 1/2&amp;apos;&amp;apos; - FORNECIMENTO E INSTALAÇÃO. AF_08/2021" xr:uid="{00000000-0004-0000-6300-000007000000}"/>
    <hyperlink ref="D2" location="'13.2.48'!A1" display="VÁLVULA DE ESFERA BRUTA, BRONZE, ROSCÁVEL, 1 1/2&amp;apos;&amp;apos; - FORNECIMENTO E INSTALAÇÃO. AF_08/2021" xr:uid="{00000000-0004-0000-6300-000008000000}"/>
    <hyperlink ref="E2" location="'13.2.48'!A1" display="VÁLVULA DE ESFERA BRUTA, BRONZE, ROSCÁVEL, 1 1/2&amp;apos;&amp;apos; - FORNECIMENTO E INSTALAÇÃO. AF_08/2021" xr:uid="{00000000-0004-0000-6300-000009000000}"/>
    <hyperlink ref="A4" location="'13.2.48'!A1" display="Acessórios do tubo (A)" xr:uid="{00000000-0004-0000-6300-00000A000000}"/>
    <hyperlink ref="B4" location="'13.2.48'!A1" display="Acessórios do tubo (A)" xr:uid="{00000000-0004-0000-6300-00000B000000}"/>
    <hyperlink ref="C4" location="'13.2.48'!A1" display="Acessórios do tubo (A)" xr:uid="{00000000-0004-0000-6300-00000C000000}"/>
    <hyperlink ref="D4" location="'13.2.48'!A1" display="Acessórios do tubo (A)" xr:uid="{00000000-0004-0000-6300-00000D000000}"/>
    <hyperlink ref="E4" location="'13.2.48'!A1" display="Acessórios do tubo (A)" xr:uid="{00000000-0004-0000-6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400-000000000000}">
  <dimension ref="A1:E5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195</v>
      </c>
      <c r="B1" s="23" t="s">
        <v>195</v>
      </c>
      <c r="C1" s="23" t="s">
        <v>195</v>
      </c>
      <c r="D1" s="23" t="s">
        <v>195</v>
      </c>
      <c r="E1" s="23" t="s">
        <v>195</v>
      </c>
    </row>
    <row r="2" spans="1:5">
      <c r="A2" s="23" t="s">
        <v>195</v>
      </c>
      <c r="B2" s="23" t="s">
        <v>195</v>
      </c>
      <c r="C2" s="23" t="s">
        <v>195</v>
      </c>
      <c r="D2" s="23" t="s">
        <v>195</v>
      </c>
      <c r="E2" s="23" t="s">
        <v>195</v>
      </c>
    </row>
    <row r="4" spans="1:5">
      <c r="A4" s="18" t="s">
        <v>239</v>
      </c>
      <c r="B4" s="18" t="s">
        <v>239</v>
      </c>
      <c r="C4" s="18" t="s">
        <v>239</v>
      </c>
      <c r="D4" s="18" t="s">
        <v>239</v>
      </c>
      <c r="E4" s="18" t="s">
        <v>239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249</v>
      </c>
      <c r="D7" s="11" t="s">
        <v>3279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249</v>
      </c>
      <c r="D8" s="11" t="s">
        <v>3280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249</v>
      </c>
      <c r="D9" s="11" t="s">
        <v>3281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249</v>
      </c>
      <c r="D10" s="11" t="s">
        <v>3282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249</v>
      </c>
      <c r="D11" s="11" t="s">
        <v>3283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249</v>
      </c>
      <c r="D12" s="11" t="s">
        <v>3284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249</v>
      </c>
      <c r="D13" s="11" t="s">
        <v>3285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249</v>
      </c>
      <c r="D14" s="11" t="s">
        <v>3286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249</v>
      </c>
      <c r="D15" s="11" t="s">
        <v>3287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249</v>
      </c>
      <c r="D16" s="11" t="s">
        <v>3288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249</v>
      </c>
      <c r="D17" s="11" t="s">
        <v>3289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249</v>
      </c>
      <c r="D18" s="11" t="s">
        <v>3290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249</v>
      </c>
      <c r="D19" s="11" t="s">
        <v>3291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249</v>
      </c>
      <c r="D20" s="11" t="s">
        <v>3292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249</v>
      </c>
      <c r="D21" s="11" t="s">
        <v>3293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249</v>
      </c>
      <c r="D22" s="11" t="s">
        <v>3294</v>
      </c>
      <c r="E22" s="11">
        <v>1</v>
      </c>
    </row>
    <row r="23" spans="1:5" ht="24.75">
      <c r="A23" s="11" t="s">
        <v>363</v>
      </c>
      <c r="B23" s="11" t="s">
        <v>233</v>
      </c>
      <c r="C23" s="11" t="s">
        <v>249</v>
      </c>
      <c r="D23" s="11" t="s">
        <v>3295</v>
      </c>
      <c r="E23" s="11">
        <v>1</v>
      </c>
    </row>
    <row r="24" spans="1:5" ht="24.75">
      <c r="A24" s="11" t="s">
        <v>363</v>
      </c>
      <c r="B24" s="11" t="s">
        <v>233</v>
      </c>
      <c r="C24" s="11" t="s">
        <v>249</v>
      </c>
      <c r="D24" s="11" t="s">
        <v>3296</v>
      </c>
      <c r="E24" s="11">
        <v>1</v>
      </c>
    </row>
    <row r="25" spans="1:5" ht="24.75">
      <c r="A25" s="11" t="s">
        <v>363</v>
      </c>
      <c r="B25" s="11" t="s">
        <v>233</v>
      </c>
      <c r="C25" s="11" t="s">
        <v>249</v>
      </c>
      <c r="D25" s="11" t="s">
        <v>3297</v>
      </c>
      <c r="E25" s="11">
        <v>1</v>
      </c>
    </row>
    <row r="26" spans="1:5" ht="24.75">
      <c r="A26" s="11" t="s">
        <v>363</v>
      </c>
      <c r="B26" s="11" t="s">
        <v>233</v>
      </c>
      <c r="C26" s="11" t="s">
        <v>249</v>
      </c>
      <c r="D26" s="11" t="s">
        <v>3298</v>
      </c>
      <c r="E26" s="11">
        <v>1</v>
      </c>
    </row>
    <row r="27" spans="1:5" ht="24.75">
      <c r="A27" s="11" t="s">
        <v>363</v>
      </c>
      <c r="B27" s="11" t="s">
        <v>233</v>
      </c>
      <c r="C27" s="11" t="s">
        <v>249</v>
      </c>
      <c r="D27" s="11" t="s">
        <v>3299</v>
      </c>
      <c r="E27" s="11">
        <v>1</v>
      </c>
    </row>
    <row r="28" spans="1:5" ht="24.75">
      <c r="A28" s="11" t="s">
        <v>363</v>
      </c>
      <c r="B28" s="11" t="s">
        <v>233</v>
      </c>
      <c r="C28" s="11" t="s">
        <v>249</v>
      </c>
      <c r="D28" s="11" t="s">
        <v>3300</v>
      </c>
      <c r="E28" s="11">
        <v>1</v>
      </c>
    </row>
    <row r="29" spans="1:5" ht="24.75">
      <c r="A29" s="11" t="s">
        <v>363</v>
      </c>
      <c r="B29" s="11" t="s">
        <v>233</v>
      </c>
      <c r="C29" s="11" t="s">
        <v>249</v>
      </c>
      <c r="D29" s="11" t="s">
        <v>3301</v>
      </c>
      <c r="E29" s="11">
        <v>1</v>
      </c>
    </row>
    <row r="30" spans="1:5" ht="24.75">
      <c r="A30" s="11" t="s">
        <v>363</v>
      </c>
      <c r="B30" s="11" t="s">
        <v>233</v>
      </c>
      <c r="C30" s="11" t="s">
        <v>249</v>
      </c>
      <c r="D30" s="11" t="s">
        <v>3302</v>
      </c>
      <c r="E30" s="11">
        <v>1</v>
      </c>
    </row>
    <row r="31" spans="1:5" ht="24.75">
      <c r="A31" s="11" t="s">
        <v>363</v>
      </c>
      <c r="B31" s="11" t="s">
        <v>233</v>
      </c>
      <c r="C31" s="11" t="s">
        <v>249</v>
      </c>
      <c r="D31" s="11" t="s">
        <v>3303</v>
      </c>
      <c r="E31" s="11">
        <v>1</v>
      </c>
    </row>
    <row r="32" spans="1:5" ht="24.75">
      <c r="A32" s="11" t="s">
        <v>363</v>
      </c>
      <c r="B32" s="11" t="s">
        <v>233</v>
      </c>
      <c r="C32" s="11" t="s">
        <v>249</v>
      </c>
      <c r="D32" s="11" t="s">
        <v>3304</v>
      </c>
      <c r="E32" s="11">
        <v>1</v>
      </c>
    </row>
    <row r="33" spans="1:5" ht="24.75">
      <c r="A33" s="11" t="s">
        <v>363</v>
      </c>
      <c r="B33" s="11" t="s">
        <v>233</v>
      </c>
      <c r="C33" s="11" t="s">
        <v>249</v>
      </c>
      <c r="D33" s="11" t="s">
        <v>3305</v>
      </c>
      <c r="E33" s="11">
        <v>1</v>
      </c>
    </row>
    <row r="34" spans="1:5" ht="24.75">
      <c r="A34" s="11" t="s">
        <v>363</v>
      </c>
      <c r="B34" s="11" t="s">
        <v>233</v>
      </c>
      <c r="C34" s="11" t="s">
        <v>249</v>
      </c>
      <c r="D34" s="11" t="s">
        <v>3306</v>
      </c>
      <c r="E34" s="11">
        <v>1</v>
      </c>
    </row>
    <row r="35" spans="1:5" ht="24.75">
      <c r="A35" s="11" t="s">
        <v>363</v>
      </c>
      <c r="B35" s="11" t="s">
        <v>233</v>
      </c>
      <c r="C35" s="11" t="s">
        <v>249</v>
      </c>
      <c r="D35" s="11" t="s">
        <v>3307</v>
      </c>
      <c r="E35" s="11">
        <v>1</v>
      </c>
    </row>
    <row r="36" spans="1:5" ht="24.75">
      <c r="A36" s="11" t="s">
        <v>363</v>
      </c>
      <c r="B36" s="11" t="s">
        <v>233</v>
      </c>
      <c r="C36" s="11" t="s">
        <v>249</v>
      </c>
      <c r="D36" s="11" t="s">
        <v>3308</v>
      </c>
      <c r="E36" s="11">
        <v>1</v>
      </c>
    </row>
    <row r="37" spans="1:5" ht="24.75">
      <c r="A37" s="11" t="s">
        <v>363</v>
      </c>
      <c r="B37" s="11" t="s">
        <v>233</v>
      </c>
      <c r="C37" s="11" t="s">
        <v>249</v>
      </c>
      <c r="D37" s="11" t="s">
        <v>3309</v>
      </c>
      <c r="E37" s="11">
        <v>1</v>
      </c>
    </row>
    <row r="38" spans="1:5" ht="24.75">
      <c r="A38" s="11" t="s">
        <v>363</v>
      </c>
      <c r="B38" s="11" t="s">
        <v>233</v>
      </c>
      <c r="C38" s="11" t="s">
        <v>249</v>
      </c>
      <c r="D38" s="11" t="s">
        <v>3310</v>
      </c>
      <c r="E38" s="11">
        <v>1</v>
      </c>
    </row>
    <row r="39" spans="1:5" ht="24.75">
      <c r="A39" s="11" t="s">
        <v>363</v>
      </c>
      <c r="B39" s="11" t="s">
        <v>233</v>
      </c>
      <c r="C39" s="11" t="s">
        <v>249</v>
      </c>
      <c r="D39" s="11" t="s">
        <v>3311</v>
      </c>
      <c r="E39" s="11">
        <v>1</v>
      </c>
    </row>
    <row r="40" spans="1:5" ht="24.75">
      <c r="A40" s="11" t="s">
        <v>363</v>
      </c>
      <c r="B40" s="11" t="s">
        <v>233</v>
      </c>
      <c r="C40" s="11" t="s">
        <v>249</v>
      </c>
      <c r="D40" s="11" t="s">
        <v>3312</v>
      </c>
      <c r="E40" s="11">
        <v>1</v>
      </c>
    </row>
    <row r="41" spans="1:5" ht="24.75">
      <c r="A41" s="11" t="s">
        <v>363</v>
      </c>
      <c r="B41" s="11" t="s">
        <v>233</v>
      </c>
      <c r="C41" s="11" t="s">
        <v>249</v>
      </c>
      <c r="D41" s="11" t="s">
        <v>3313</v>
      </c>
      <c r="E41" s="11">
        <v>1</v>
      </c>
    </row>
    <row r="42" spans="1:5" ht="24.75">
      <c r="A42" s="11" t="s">
        <v>363</v>
      </c>
      <c r="B42" s="11" t="s">
        <v>233</v>
      </c>
      <c r="C42" s="11" t="s">
        <v>249</v>
      </c>
      <c r="D42" s="11" t="s">
        <v>3314</v>
      </c>
      <c r="E42" s="11">
        <v>1</v>
      </c>
    </row>
    <row r="43" spans="1:5" ht="24.75">
      <c r="A43" s="11" t="s">
        <v>363</v>
      </c>
      <c r="B43" s="11" t="s">
        <v>233</v>
      </c>
      <c r="C43" s="11" t="s">
        <v>249</v>
      </c>
      <c r="D43" s="11" t="s">
        <v>3315</v>
      </c>
      <c r="E43" s="11">
        <v>1</v>
      </c>
    </row>
    <row r="44" spans="1:5" ht="24.75">
      <c r="A44" s="11" t="s">
        <v>363</v>
      </c>
      <c r="B44" s="11" t="s">
        <v>233</v>
      </c>
      <c r="C44" s="11" t="s">
        <v>249</v>
      </c>
      <c r="D44" s="11" t="s">
        <v>3316</v>
      </c>
      <c r="E44" s="11">
        <v>1</v>
      </c>
    </row>
    <row r="45" spans="1:5" ht="24.75">
      <c r="A45" s="11" t="s">
        <v>363</v>
      </c>
      <c r="B45" s="11" t="s">
        <v>233</v>
      </c>
      <c r="C45" s="11" t="s">
        <v>249</v>
      </c>
      <c r="D45" s="11" t="s">
        <v>3317</v>
      </c>
      <c r="E45" s="11">
        <v>1</v>
      </c>
    </row>
    <row r="46" spans="1:5" ht="24.75">
      <c r="A46" s="11" t="s">
        <v>363</v>
      </c>
      <c r="B46" s="11" t="s">
        <v>233</v>
      </c>
      <c r="C46" s="11" t="s">
        <v>249</v>
      </c>
      <c r="D46" s="11" t="s">
        <v>3318</v>
      </c>
      <c r="E46" s="11">
        <v>1</v>
      </c>
    </row>
    <row r="47" spans="1:5" ht="24.75">
      <c r="A47" s="11" t="s">
        <v>363</v>
      </c>
      <c r="B47" s="11" t="s">
        <v>233</v>
      </c>
      <c r="C47" s="11" t="s">
        <v>249</v>
      </c>
      <c r="D47" s="11" t="s">
        <v>3319</v>
      </c>
      <c r="E47" s="11">
        <v>1</v>
      </c>
    </row>
    <row r="48" spans="1:5" ht="24.75">
      <c r="A48" s="11" t="s">
        <v>363</v>
      </c>
      <c r="B48" s="11" t="s">
        <v>233</v>
      </c>
      <c r="C48" s="11" t="s">
        <v>249</v>
      </c>
      <c r="D48" s="11" t="s">
        <v>3320</v>
      </c>
      <c r="E48" s="11">
        <v>1</v>
      </c>
    </row>
    <row r="49" spans="1:5" ht="24.75">
      <c r="A49" s="11" t="s">
        <v>363</v>
      </c>
      <c r="B49" s="11" t="s">
        <v>233</v>
      </c>
      <c r="C49" s="11" t="s">
        <v>249</v>
      </c>
      <c r="D49" s="11" t="s">
        <v>3321</v>
      </c>
      <c r="E49" s="11">
        <v>1</v>
      </c>
    </row>
    <row r="50" spans="1:5" ht="24.75">
      <c r="A50" s="11" t="s">
        <v>363</v>
      </c>
      <c r="B50" s="11" t="s">
        <v>233</v>
      </c>
      <c r="C50" s="11" t="s">
        <v>249</v>
      </c>
      <c r="D50" s="11" t="s">
        <v>3322</v>
      </c>
      <c r="E50" s="11">
        <v>1</v>
      </c>
    </row>
    <row r="51" spans="1:5" ht="24.75">
      <c r="A51" s="11" t="s">
        <v>363</v>
      </c>
      <c r="B51" s="11" t="s">
        <v>233</v>
      </c>
      <c r="C51" s="11" t="s">
        <v>249</v>
      </c>
      <c r="D51" s="11" t="s">
        <v>3323</v>
      </c>
      <c r="E51" s="11">
        <v>1</v>
      </c>
    </row>
    <row r="52" spans="1:5" ht="24.75">
      <c r="A52" s="11" t="s">
        <v>363</v>
      </c>
      <c r="B52" s="11" t="s">
        <v>233</v>
      </c>
      <c r="C52" s="11" t="s">
        <v>249</v>
      </c>
      <c r="D52" s="11" t="s">
        <v>3324</v>
      </c>
      <c r="E52" s="11">
        <v>1</v>
      </c>
    </row>
    <row r="53" spans="1:5" ht="24.75">
      <c r="A53" s="11" t="s">
        <v>363</v>
      </c>
      <c r="B53" s="11" t="s">
        <v>233</v>
      </c>
      <c r="C53" s="11" t="s">
        <v>249</v>
      </c>
      <c r="D53" s="11" t="s">
        <v>3325</v>
      </c>
      <c r="E53" s="11">
        <v>1</v>
      </c>
    </row>
    <row r="54" spans="1:5" ht="24.75">
      <c r="A54" s="11" t="s">
        <v>363</v>
      </c>
      <c r="B54" s="11" t="s">
        <v>233</v>
      </c>
      <c r="C54" s="11" t="s">
        <v>249</v>
      </c>
      <c r="D54" s="11" t="s">
        <v>3326</v>
      </c>
      <c r="E54" s="11">
        <v>1</v>
      </c>
    </row>
    <row r="55" spans="1:5" ht="24.75">
      <c r="A55" s="11" t="s">
        <v>363</v>
      </c>
      <c r="B55" s="11" t="s">
        <v>233</v>
      </c>
      <c r="C55" s="11" t="s">
        <v>249</v>
      </c>
      <c r="D55" s="11" t="s">
        <v>3327</v>
      </c>
      <c r="E55" s="11">
        <v>1</v>
      </c>
    </row>
    <row r="56" spans="1:5" ht="24.75">
      <c r="A56" s="11" t="s">
        <v>363</v>
      </c>
      <c r="B56" s="11" t="s">
        <v>233</v>
      </c>
      <c r="C56" s="11" t="s">
        <v>249</v>
      </c>
      <c r="D56" s="11" t="s">
        <v>3328</v>
      </c>
      <c r="E56" s="11">
        <v>1</v>
      </c>
    </row>
    <row r="57" spans="1:5" ht="24.75">
      <c r="A57" s="11" t="s">
        <v>363</v>
      </c>
      <c r="B57" s="11" t="s">
        <v>233</v>
      </c>
      <c r="C57" s="11" t="s">
        <v>249</v>
      </c>
      <c r="D57" s="11" t="s">
        <v>3329</v>
      </c>
      <c r="E57" s="11">
        <v>1</v>
      </c>
    </row>
    <row r="58" spans="1:5">
      <c r="A58" s="1" t="s">
        <v>207</v>
      </c>
      <c r="B58" s="1" t="s">
        <v>207</v>
      </c>
      <c r="C58" s="1">
        <f>SUBTOTAL(103,Elements132491[Elemento])</f>
        <v>51</v>
      </c>
      <c r="D58" s="1" t="s">
        <v>207</v>
      </c>
      <c r="E58" s="1">
        <f>SUBTOTAL(109,Elements132491[Totais:])</f>
        <v>51</v>
      </c>
    </row>
  </sheetData>
  <mergeCells count="3">
    <mergeCell ref="A1:E2"/>
    <mergeCell ref="A4:E4"/>
    <mergeCell ref="A5:E5"/>
  </mergeCells>
  <hyperlinks>
    <hyperlink ref="A1" location="'13.2.49'!A1" display="VÁLVULA DE ESFERA BRUTA, BRONZE, ROSCÁVEL, 3/4&amp;apos;&amp;apos; - FORNECIMENTO E INSTALAÇÃO. AF_08/2021" xr:uid="{00000000-0004-0000-6400-000000000000}"/>
    <hyperlink ref="B1" location="'13.2.49'!A1" display="VÁLVULA DE ESFERA BRUTA, BRONZE, ROSCÁVEL, 3/4&amp;apos;&amp;apos; - FORNECIMENTO E INSTALAÇÃO. AF_08/2021" xr:uid="{00000000-0004-0000-6400-000001000000}"/>
    <hyperlink ref="C1" location="'13.2.49'!A1" display="VÁLVULA DE ESFERA BRUTA, BRONZE, ROSCÁVEL, 3/4&amp;apos;&amp;apos; - FORNECIMENTO E INSTALAÇÃO. AF_08/2021" xr:uid="{00000000-0004-0000-6400-000002000000}"/>
    <hyperlink ref="D1" location="'13.2.49'!A1" display="VÁLVULA DE ESFERA BRUTA, BRONZE, ROSCÁVEL, 3/4&amp;apos;&amp;apos; - FORNECIMENTO E INSTALAÇÃO. AF_08/2021" xr:uid="{00000000-0004-0000-6400-000003000000}"/>
    <hyperlink ref="E1" location="'13.2.49'!A1" display="VÁLVULA DE ESFERA BRUTA, BRONZE, ROSCÁVEL, 3/4&amp;apos;&amp;apos; - FORNECIMENTO E INSTALAÇÃO. AF_08/2021" xr:uid="{00000000-0004-0000-6400-000004000000}"/>
    <hyperlink ref="A2" location="'13.2.49'!A1" display="VÁLVULA DE ESFERA BRUTA, BRONZE, ROSCÁVEL, 3/4&amp;apos;&amp;apos; - FORNECIMENTO E INSTALAÇÃO. AF_08/2021" xr:uid="{00000000-0004-0000-6400-000005000000}"/>
    <hyperlink ref="B2" location="'13.2.49'!A1" display="VÁLVULA DE ESFERA BRUTA, BRONZE, ROSCÁVEL, 3/4&amp;apos;&amp;apos; - FORNECIMENTO E INSTALAÇÃO. AF_08/2021" xr:uid="{00000000-0004-0000-6400-000006000000}"/>
    <hyperlink ref="C2" location="'13.2.49'!A1" display="VÁLVULA DE ESFERA BRUTA, BRONZE, ROSCÁVEL, 3/4&amp;apos;&amp;apos; - FORNECIMENTO E INSTALAÇÃO. AF_08/2021" xr:uid="{00000000-0004-0000-6400-000007000000}"/>
    <hyperlink ref="D2" location="'13.2.49'!A1" display="VÁLVULA DE ESFERA BRUTA, BRONZE, ROSCÁVEL, 3/4&amp;apos;&amp;apos; - FORNECIMENTO E INSTALAÇÃO. AF_08/2021" xr:uid="{00000000-0004-0000-6400-000008000000}"/>
    <hyperlink ref="E2" location="'13.2.49'!A1" display="VÁLVULA DE ESFERA BRUTA, BRONZE, ROSCÁVEL, 3/4&amp;apos;&amp;apos; - FORNECIMENTO E INSTALAÇÃO. AF_08/2021" xr:uid="{00000000-0004-0000-6400-000009000000}"/>
    <hyperlink ref="A4" location="'13.2.49'!A1" display="Acessórios do tubo (A)" xr:uid="{00000000-0004-0000-6400-00000A000000}"/>
    <hyperlink ref="B4" location="'13.2.49'!A1" display="Acessórios do tubo (A)" xr:uid="{00000000-0004-0000-6400-00000B000000}"/>
    <hyperlink ref="C4" location="'13.2.49'!A1" display="Acessórios do tubo (A)" xr:uid="{00000000-0004-0000-6400-00000C000000}"/>
    <hyperlink ref="D4" location="'13.2.49'!A1" display="Acessórios do tubo (A)" xr:uid="{00000000-0004-0000-6400-00000D000000}"/>
    <hyperlink ref="E4" location="'13.2.49'!A1" display="Acessórios do tubo (A)" xr:uid="{00000000-0004-0000-64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500-000000000000}">
  <dimension ref="A1:E1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199</v>
      </c>
      <c r="B1" s="23" t="s">
        <v>199</v>
      </c>
      <c r="C1" s="23" t="s">
        <v>199</v>
      </c>
      <c r="D1" s="23" t="s">
        <v>199</v>
      </c>
      <c r="E1" s="23" t="s">
        <v>199</v>
      </c>
    </row>
    <row r="2" spans="1:5">
      <c r="A2" s="23" t="s">
        <v>199</v>
      </c>
      <c r="B2" s="23" t="s">
        <v>199</v>
      </c>
      <c r="C2" s="23" t="s">
        <v>199</v>
      </c>
      <c r="D2" s="23" t="s">
        <v>199</v>
      </c>
      <c r="E2" s="23" t="s">
        <v>199</v>
      </c>
    </row>
    <row r="4" spans="1:5">
      <c r="A4" s="18" t="s">
        <v>239</v>
      </c>
      <c r="B4" s="18" t="s">
        <v>239</v>
      </c>
      <c r="C4" s="18" t="s">
        <v>239</v>
      </c>
      <c r="D4" s="18" t="s">
        <v>239</v>
      </c>
      <c r="E4" s="18" t="s">
        <v>239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356</v>
      </c>
      <c r="D7" s="11" t="s">
        <v>3330</v>
      </c>
      <c r="E7" s="11">
        <v>1</v>
      </c>
    </row>
    <row r="8" spans="1:5" ht="24.75">
      <c r="A8" s="11" t="s">
        <v>363</v>
      </c>
      <c r="B8" s="11" t="s">
        <v>233</v>
      </c>
      <c r="C8" s="11" t="s">
        <v>356</v>
      </c>
      <c r="D8" s="11" t="s">
        <v>3331</v>
      </c>
      <c r="E8" s="11">
        <v>1</v>
      </c>
    </row>
    <row r="9" spans="1:5" ht="24.75">
      <c r="A9" s="11" t="s">
        <v>363</v>
      </c>
      <c r="B9" s="11" t="s">
        <v>233</v>
      </c>
      <c r="C9" s="11" t="s">
        <v>356</v>
      </c>
      <c r="D9" s="11" t="s">
        <v>3332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356</v>
      </c>
      <c r="D10" s="11" t="s">
        <v>3333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356</v>
      </c>
      <c r="D11" s="11" t="s">
        <v>3334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356</v>
      </c>
      <c r="D12" s="11" t="s">
        <v>3335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356</v>
      </c>
      <c r="D13" s="11" t="s">
        <v>3336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356</v>
      </c>
      <c r="D14" s="11" t="s">
        <v>3337</v>
      </c>
      <c r="E14" s="11">
        <v>1</v>
      </c>
    </row>
    <row r="15" spans="1:5">
      <c r="A15" s="1" t="s">
        <v>207</v>
      </c>
      <c r="B15" s="1" t="s">
        <v>207</v>
      </c>
      <c r="C15" s="1">
        <f>SUBTOTAL(103,Elements132501[Elemento])</f>
        <v>8</v>
      </c>
      <c r="D15" s="1" t="s">
        <v>207</v>
      </c>
      <c r="E15" s="1">
        <f>SUBTOTAL(109,Elements132501[Totais:])</f>
        <v>8</v>
      </c>
    </row>
  </sheetData>
  <mergeCells count="3">
    <mergeCell ref="A1:E2"/>
    <mergeCell ref="A4:E4"/>
    <mergeCell ref="A5:E5"/>
  </mergeCells>
  <hyperlinks>
    <hyperlink ref="A1" location="'13.2.50'!A1" display="Bomba - Moto Bomba, auto escorvante, com motor a gasolina de 4CV, bocal de succao de 2&amp;quot; e recalque de 1 1/2&amp;quot;, modelo GHS-120, Darka ou similar" xr:uid="{00000000-0004-0000-6500-000000000000}"/>
    <hyperlink ref="B1" location="'13.2.50'!A1" display="Bomba - Moto Bomba, auto escorvante, com motor a gasolina de 4CV, bocal de succao de 2&amp;quot; e recalque de 1 1/2&amp;quot;, modelo GHS-120, Darka ou similar" xr:uid="{00000000-0004-0000-6500-000001000000}"/>
    <hyperlink ref="C1" location="'13.2.50'!A1" display="Bomba - Moto Bomba, auto escorvante, com motor a gasolina de 4CV, bocal de succao de 2&amp;quot; e recalque de 1 1/2&amp;quot;, modelo GHS-120, Darka ou similar" xr:uid="{00000000-0004-0000-6500-000002000000}"/>
    <hyperlink ref="D1" location="'13.2.50'!A1" display="Bomba - Moto Bomba, auto escorvante, com motor a gasolina de 4CV, bocal de succao de 2&amp;quot; e recalque de 1 1/2&amp;quot;, modelo GHS-120, Darka ou similar" xr:uid="{00000000-0004-0000-6500-000003000000}"/>
    <hyperlink ref="E1" location="'13.2.50'!A1" display="Bomba - Moto Bomba, auto escorvante, com motor a gasolina de 4CV, bocal de succao de 2&amp;quot; e recalque de 1 1/2&amp;quot;, modelo GHS-120, Darka ou similar" xr:uid="{00000000-0004-0000-6500-000004000000}"/>
    <hyperlink ref="A2" location="'13.2.50'!A1" display="Bomba - Moto Bomba, auto escorvante, com motor a gasolina de 4CV, bocal de succao de 2&amp;quot; e recalque de 1 1/2&amp;quot;, modelo GHS-120, Darka ou similar" xr:uid="{00000000-0004-0000-6500-000005000000}"/>
    <hyperlink ref="B2" location="'13.2.50'!A1" display="Bomba - Moto Bomba, auto escorvante, com motor a gasolina de 4CV, bocal de succao de 2&amp;quot; e recalque de 1 1/2&amp;quot;, modelo GHS-120, Darka ou similar" xr:uid="{00000000-0004-0000-6500-000006000000}"/>
    <hyperlink ref="C2" location="'13.2.50'!A1" display="Bomba - Moto Bomba, auto escorvante, com motor a gasolina de 4CV, bocal de succao de 2&amp;quot; e recalque de 1 1/2&amp;quot;, modelo GHS-120, Darka ou similar" xr:uid="{00000000-0004-0000-6500-000007000000}"/>
    <hyperlink ref="D2" location="'13.2.50'!A1" display="Bomba - Moto Bomba, auto escorvante, com motor a gasolina de 4CV, bocal de succao de 2&amp;quot; e recalque de 1 1/2&amp;quot;, modelo GHS-120, Darka ou similar" xr:uid="{00000000-0004-0000-6500-000008000000}"/>
    <hyperlink ref="E2" location="'13.2.50'!A1" display="Bomba - Moto Bomba, auto escorvante, com motor a gasolina de 4CV, bocal de succao de 2&amp;quot; e recalque de 1 1/2&amp;quot;, modelo GHS-120, Darka ou similar" xr:uid="{00000000-0004-0000-6500-000009000000}"/>
    <hyperlink ref="A4" location="'13.2.50'!A1" display="Acessórios do tubo (A)" xr:uid="{00000000-0004-0000-6500-00000A000000}"/>
    <hyperlink ref="B4" location="'13.2.50'!A1" display="Acessórios do tubo (A)" xr:uid="{00000000-0004-0000-6500-00000B000000}"/>
    <hyperlink ref="C4" location="'13.2.50'!A1" display="Acessórios do tubo (A)" xr:uid="{00000000-0004-0000-6500-00000C000000}"/>
    <hyperlink ref="D4" location="'13.2.50'!A1" display="Acessórios do tubo (A)" xr:uid="{00000000-0004-0000-6500-00000D000000}"/>
    <hyperlink ref="E4" location="'13.2.50'!A1" display="Acessórios do tubo (A)" xr:uid="{00000000-0004-0000-65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47</v>
      </c>
      <c r="B2" s="6" t="s">
        <v>48</v>
      </c>
      <c r="C2" s="6" t="s">
        <v>14</v>
      </c>
      <c r="D2" s="6" t="s">
        <v>49</v>
      </c>
      <c r="E2" s="6" t="s">
        <v>16</v>
      </c>
      <c r="F2" s="6" t="s">
        <v>200</v>
      </c>
      <c r="G2" s="6">
        <v>37.46</v>
      </c>
      <c r="H2" s="6">
        <v>44.895810000000004</v>
      </c>
      <c r="I2" s="6">
        <v>269.37486000000001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6</v>
      </c>
      <c r="D8" s="11" t="s">
        <v>239</v>
      </c>
      <c r="E8" s="11">
        <v>6</v>
      </c>
    </row>
    <row r="9" spans="1:9">
      <c r="A9" s="11" t="s">
        <v>207</v>
      </c>
      <c r="B9" s="11" t="s">
        <v>207</v>
      </c>
      <c r="C9" s="11">
        <f>SUBTOTAL(109,Criteria_Summary13.2.9[Elementos])</f>
        <v>6</v>
      </c>
      <c r="D9" s="11" t="s">
        <v>207</v>
      </c>
      <c r="E9" s="11">
        <f>SUBTOTAL(109,Criteria_Summary13.2.9[Total])</f>
        <v>6</v>
      </c>
    </row>
    <row r="10" spans="1:9">
      <c r="A10" s="12" t="s">
        <v>208</v>
      </c>
      <c r="B10" s="12">
        <v>0</v>
      </c>
      <c r="C10" s="13"/>
      <c r="D10" s="13"/>
      <c r="E10" s="12">
        <v>6</v>
      </c>
    </row>
    <row r="13" spans="1:9">
      <c r="A13" s="18" t="s">
        <v>239</v>
      </c>
      <c r="B13" s="18" t="s">
        <v>239</v>
      </c>
      <c r="C13" s="18" t="s">
        <v>239</v>
      </c>
      <c r="D13" s="18" t="s">
        <v>239</v>
      </c>
      <c r="E13" s="18" t="s">
        <v>239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6</v>
      </c>
      <c r="C16" s="21" t="s">
        <v>240</v>
      </c>
      <c r="D16" s="21" t="s">
        <v>240</v>
      </c>
      <c r="E16" s="11">
        <v>6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251</v>
      </c>
      <c r="B24" s="21" t="s">
        <v>251</v>
      </c>
      <c r="C24" s="21" t="s">
        <v>251</v>
      </c>
      <c r="D24" s="11" t="s">
        <v>252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48.75">
      <c r="A28" s="11" t="s">
        <v>220</v>
      </c>
      <c r="B28" s="11" t="s">
        <v>221</v>
      </c>
      <c r="C28" s="11" t="s">
        <v>253</v>
      </c>
      <c r="D28" s="11" t="s">
        <v>223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9" xr:uid="{00000000-0004-0000-0A00-000000000000}"/>
    <hyperlink ref="F2" location="'13.2.9E'!A1" display="6" xr:uid="{00000000-0004-0000-0A00-000001000000}"/>
    <hyperlink ref="E10" location="'13.2.9E'!A1" display="'13.2.9E'!A1" xr:uid="{00000000-0004-0000-0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50</v>
      </c>
      <c r="B2" s="6" t="s">
        <v>51</v>
      </c>
      <c r="C2" s="6" t="s">
        <v>14</v>
      </c>
      <c r="D2" s="6" t="s">
        <v>52</v>
      </c>
      <c r="E2" s="6" t="s">
        <v>16</v>
      </c>
      <c r="F2" s="6" t="s">
        <v>200</v>
      </c>
      <c r="G2" s="6">
        <v>53</v>
      </c>
      <c r="H2" s="6">
        <v>63.520500000000006</v>
      </c>
      <c r="I2" s="6">
        <v>381.12300000000005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6</v>
      </c>
      <c r="D8" s="11" t="s">
        <v>239</v>
      </c>
      <c r="E8" s="11">
        <v>6</v>
      </c>
    </row>
    <row r="9" spans="1:9">
      <c r="A9" s="11" t="s">
        <v>207</v>
      </c>
      <c r="B9" s="11" t="s">
        <v>207</v>
      </c>
      <c r="C9" s="11">
        <f>SUBTOTAL(109,Criteria_Summary13.2.10[Elementos])</f>
        <v>6</v>
      </c>
      <c r="D9" s="11" t="s">
        <v>207</v>
      </c>
      <c r="E9" s="11">
        <f>SUBTOTAL(109,Criteria_Summary13.2.10[Total])</f>
        <v>6</v>
      </c>
    </row>
    <row r="10" spans="1:9">
      <c r="A10" s="12" t="s">
        <v>208</v>
      </c>
      <c r="B10" s="12">
        <v>0</v>
      </c>
      <c r="C10" s="13"/>
      <c r="D10" s="13"/>
      <c r="E10" s="12">
        <v>6</v>
      </c>
    </row>
    <row r="13" spans="1:9">
      <c r="A13" s="18" t="s">
        <v>239</v>
      </c>
      <c r="B13" s="18" t="s">
        <v>239</v>
      </c>
      <c r="C13" s="18" t="s">
        <v>239</v>
      </c>
      <c r="D13" s="18" t="s">
        <v>239</v>
      </c>
      <c r="E13" s="18" t="s">
        <v>239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6</v>
      </c>
      <c r="C16" s="21" t="s">
        <v>240</v>
      </c>
      <c r="D16" s="21" t="s">
        <v>240</v>
      </c>
      <c r="E16" s="11">
        <v>6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254</v>
      </c>
      <c r="B24" s="21" t="s">
        <v>254</v>
      </c>
      <c r="C24" s="21" t="s">
        <v>254</v>
      </c>
      <c r="D24" s="11" t="s">
        <v>255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48.75">
      <c r="A28" s="11" t="s">
        <v>220</v>
      </c>
      <c r="B28" s="11" t="s">
        <v>221</v>
      </c>
      <c r="C28" s="11" t="s">
        <v>256</v>
      </c>
      <c r="D28" s="11" t="s">
        <v>223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10" xr:uid="{00000000-0004-0000-0B00-000000000000}"/>
    <hyperlink ref="F2" location="'13.2.10E'!A1" display="6" xr:uid="{00000000-0004-0000-0B00-000001000000}"/>
    <hyperlink ref="E10" location="'13.2.10E'!A1" display="'13.2.10E'!A1" xr:uid="{00000000-0004-0000-0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DFF0D8"/>
  </sheetPr>
  <dimension ref="A1:I46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53</v>
      </c>
      <c r="B2" s="6" t="s">
        <v>54</v>
      </c>
      <c r="C2" s="6" t="s">
        <v>14</v>
      </c>
      <c r="D2" s="6" t="s">
        <v>55</v>
      </c>
      <c r="E2" s="6" t="s">
        <v>16</v>
      </c>
      <c r="F2" s="6" t="s">
        <v>257</v>
      </c>
      <c r="G2" s="6">
        <v>67.83</v>
      </c>
      <c r="H2" s="6">
        <v>81.294255000000007</v>
      </c>
      <c r="I2" s="6">
        <v>2357.5333950000004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21</v>
      </c>
      <c r="D8" s="11" t="s">
        <v>239</v>
      </c>
      <c r="E8" s="11">
        <v>21</v>
      </c>
    </row>
    <row r="9" spans="1:9">
      <c r="A9" s="11">
        <v>2</v>
      </c>
      <c r="B9" s="11" t="s">
        <v>205</v>
      </c>
      <c r="C9" s="11">
        <v>8</v>
      </c>
      <c r="D9" s="11" t="s">
        <v>239</v>
      </c>
      <c r="E9" s="11">
        <v>8</v>
      </c>
    </row>
    <row r="10" spans="1:9">
      <c r="A10" s="11" t="s">
        <v>207</v>
      </c>
      <c r="B10" s="11" t="s">
        <v>207</v>
      </c>
      <c r="C10" s="11">
        <f>SUBTOTAL(109,Criteria_Summary13.2.11[Elementos])</f>
        <v>29</v>
      </c>
      <c r="D10" s="11" t="s">
        <v>207</v>
      </c>
      <c r="E10" s="11">
        <f>SUBTOTAL(109,Criteria_Summary13.2.11[Total])</f>
        <v>29</v>
      </c>
    </row>
    <row r="11" spans="1:9">
      <c r="A11" s="12" t="s">
        <v>208</v>
      </c>
      <c r="B11" s="12">
        <v>0</v>
      </c>
      <c r="C11" s="13"/>
      <c r="D11" s="13"/>
      <c r="E11" s="12">
        <v>29</v>
      </c>
    </row>
    <row r="14" spans="1:9">
      <c r="A14" s="18" t="s">
        <v>239</v>
      </c>
      <c r="B14" s="18" t="s">
        <v>239</v>
      </c>
      <c r="C14" s="18" t="s">
        <v>239</v>
      </c>
      <c r="D14" s="18" t="s">
        <v>239</v>
      </c>
      <c r="E14" s="18" t="s">
        <v>239</v>
      </c>
    </row>
    <row r="15" spans="1:9">
      <c r="A15" s="19"/>
      <c r="B15" s="19"/>
      <c r="C15" s="19"/>
      <c r="D15" s="19"/>
      <c r="E15" s="19"/>
    </row>
    <row r="16" spans="1:9">
      <c r="A16" s="14" t="s">
        <v>202</v>
      </c>
      <c r="B16" s="14" t="s">
        <v>203</v>
      </c>
      <c r="C16" s="20" t="s">
        <v>209</v>
      </c>
      <c r="D16" s="20" t="s">
        <v>209</v>
      </c>
      <c r="E16" s="14" t="s">
        <v>9</v>
      </c>
    </row>
    <row r="17" spans="1:5">
      <c r="A17" s="11" t="s">
        <v>205</v>
      </c>
      <c r="B17" s="11">
        <v>21</v>
      </c>
      <c r="C17" s="21" t="s">
        <v>240</v>
      </c>
      <c r="D17" s="21" t="s">
        <v>240</v>
      </c>
      <c r="E17" s="11">
        <v>21</v>
      </c>
    </row>
    <row r="19" spans="1:5">
      <c r="A19" s="22" t="s">
        <v>230</v>
      </c>
      <c r="B19" s="22" t="s">
        <v>230</v>
      </c>
      <c r="C19" s="22" t="s">
        <v>230</v>
      </c>
      <c r="D19" s="22" t="s">
        <v>230</v>
      </c>
      <c r="E19" s="22" t="s">
        <v>230</v>
      </c>
    </row>
    <row r="20" spans="1:5">
      <c r="A20" s="20" t="s">
        <v>231</v>
      </c>
      <c r="B20" s="20" t="s">
        <v>231</v>
      </c>
      <c r="C20" s="20" t="s">
        <v>231</v>
      </c>
      <c r="D20" s="14" t="s">
        <v>232</v>
      </c>
      <c r="E20" s="14"/>
    </row>
    <row r="21" spans="1:5">
      <c r="A21" s="11"/>
      <c r="B21" s="11"/>
      <c r="C21" s="11"/>
      <c r="D21" s="11" t="s">
        <v>233</v>
      </c>
      <c r="E21" s="11" t="s">
        <v>215</v>
      </c>
    </row>
    <row r="23" spans="1:5">
      <c r="A23" s="22" t="s">
        <v>211</v>
      </c>
      <c r="B23" s="22" t="s">
        <v>211</v>
      </c>
      <c r="C23" s="22" t="s">
        <v>211</v>
      </c>
      <c r="D23" s="22" t="s">
        <v>211</v>
      </c>
      <c r="E23" s="22" t="s">
        <v>211</v>
      </c>
    </row>
    <row r="24" spans="1:5">
      <c r="A24" s="20" t="s">
        <v>212</v>
      </c>
      <c r="B24" s="14"/>
      <c r="C24" s="14"/>
      <c r="D24" s="14" t="s">
        <v>202</v>
      </c>
      <c r="E24" s="14"/>
    </row>
    <row r="25" spans="1:5">
      <c r="A25" s="21" t="s">
        <v>254</v>
      </c>
      <c r="B25" s="21" t="s">
        <v>254</v>
      </c>
      <c r="C25" s="21" t="s">
        <v>254</v>
      </c>
      <c r="D25" s="11" t="s">
        <v>258</v>
      </c>
      <c r="E25" s="11" t="s">
        <v>215</v>
      </c>
    </row>
    <row r="27" spans="1:5">
      <c r="A27" s="22" t="s">
        <v>216</v>
      </c>
      <c r="B27" s="22" t="s">
        <v>216</v>
      </c>
      <c r="C27" s="22" t="s">
        <v>216</v>
      </c>
      <c r="D27" s="22" t="s">
        <v>216</v>
      </c>
      <c r="E27" s="22" t="s">
        <v>216</v>
      </c>
    </row>
    <row r="28" spans="1:5">
      <c r="A28" s="14" t="s">
        <v>202</v>
      </c>
      <c r="B28" s="14" t="s">
        <v>217</v>
      </c>
      <c r="C28" s="14" t="s">
        <v>218</v>
      </c>
      <c r="D28" s="14" t="s">
        <v>219</v>
      </c>
      <c r="E28" s="14"/>
    </row>
    <row r="29" spans="1:5" ht="48.75">
      <c r="A29" s="11" t="s">
        <v>220</v>
      </c>
      <c r="B29" s="11" t="s">
        <v>221</v>
      </c>
      <c r="C29" s="11" t="s">
        <v>259</v>
      </c>
      <c r="D29" s="11" t="s">
        <v>223</v>
      </c>
      <c r="E29" s="11" t="s">
        <v>224</v>
      </c>
    </row>
    <row r="31" spans="1:5">
      <c r="A31" s="18" t="s">
        <v>239</v>
      </c>
      <c r="B31" s="18" t="s">
        <v>239</v>
      </c>
      <c r="C31" s="18" t="s">
        <v>239</v>
      </c>
      <c r="D31" s="18" t="s">
        <v>239</v>
      </c>
      <c r="E31" s="18" t="s">
        <v>239</v>
      </c>
    </row>
    <row r="32" spans="1:5">
      <c r="A32" s="19"/>
      <c r="B32" s="19"/>
      <c r="C32" s="19"/>
      <c r="D32" s="19"/>
      <c r="E32" s="19"/>
    </row>
    <row r="33" spans="1:5">
      <c r="A33" s="14" t="s">
        <v>202</v>
      </c>
      <c r="B33" s="14" t="s">
        <v>203</v>
      </c>
      <c r="C33" s="20" t="s">
        <v>209</v>
      </c>
      <c r="D33" s="20" t="s">
        <v>209</v>
      </c>
      <c r="E33" s="14" t="s">
        <v>9</v>
      </c>
    </row>
    <row r="34" spans="1:5">
      <c r="A34" s="11" t="s">
        <v>205</v>
      </c>
      <c r="B34" s="11">
        <v>8</v>
      </c>
      <c r="C34" s="21" t="s">
        <v>240</v>
      </c>
      <c r="D34" s="21" t="s">
        <v>240</v>
      </c>
      <c r="E34" s="11">
        <v>8</v>
      </c>
    </row>
    <row r="36" spans="1:5">
      <c r="A36" s="22" t="s">
        <v>230</v>
      </c>
      <c r="B36" s="22" t="s">
        <v>230</v>
      </c>
      <c r="C36" s="22" t="s">
        <v>230</v>
      </c>
      <c r="D36" s="22" t="s">
        <v>230</v>
      </c>
      <c r="E36" s="22" t="s">
        <v>230</v>
      </c>
    </row>
    <row r="37" spans="1:5">
      <c r="A37" s="20" t="s">
        <v>231</v>
      </c>
      <c r="B37" s="20" t="s">
        <v>231</v>
      </c>
      <c r="C37" s="20" t="s">
        <v>231</v>
      </c>
      <c r="D37" s="14" t="s">
        <v>232</v>
      </c>
      <c r="E37" s="14"/>
    </row>
    <row r="38" spans="1:5">
      <c r="A38" s="11"/>
      <c r="B38" s="11"/>
      <c r="C38" s="11"/>
      <c r="D38" s="11" t="s">
        <v>233</v>
      </c>
      <c r="E38" s="11" t="s">
        <v>215</v>
      </c>
    </row>
    <row r="40" spans="1:5">
      <c r="A40" s="22" t="s">
        <v>211</v>
      </c>
      <c r="B40" s="22" t="s">
        <v>211</v>
      </c>
      <c r="C40" s="22" t="s">
        <v>211</v>
      </c>
      <c r="D40" s="22" t="s">
        <v>211</v>
      </c>
      <c r="E40" s="22" t="s">
        <v>211</v>
      </c>
    </row>
    <row r="41" spans="1:5">
      <c r="A41" s="20" t="s">
        <v>212</v>
      </c>
      <c r="B41" s="14"/>
      <c r="C41" s="14"/>
      <c r="D41" s="14" t="s">
        <v>202</v>
      </c>
      <c r="E41" s="14"/>
    </row>
    <row r="42" spans="1:5">
      <c r="A42" s="21" t="s">
        <v>254</v>
      </c>
      <c r="B42" s="21" t="s">
        <v>254</v>
      </c>
      <c r="C42" s="21" t="s">
        <v>254</v>
      </c>
      <c r="D42" s="11" t="s">
        <v>260</v>
      </c>
      <c r="E42" s="11" t="s">
        <v>215</v>
      </c>
    </row>
    <row r="44" spans="1:5">
      <c r="A44" s="22" t="s">
        <v>216</v>
      </c>
      <c r="B44" s="22" t="s">
        <v>216</v>
      </c>
      <c r="C44" s="22" t="s">
        <v>216</v>
      </c>
      <c r="D44" s="22" t="s">
        <v>216</v>
      </c>
      <c r="E44" s="22" t="s">
        <v>216</v>
      </c>
    </row>
    <row r="45" spans="1:5">
      <c r="A45" s="14" t="s">
        <v>202</v>
      </c>
      <c r="B45" s="14" t="s">
        <v>217</v>
      </c>
      <c r="C45" s="14" t="s">
        <v>218</v>
      </c>
      <c r="D45" s="14" t="s">
        <v>219</v>
      </c>
      <c r="E45" s="14"/>
    </row>
    <row r="46" spans="1:5" ht="60.75">
      <c r="A46" s="11" t="s">
        <v>202</v>
      </c>
      <c r="B46" s="11" t="s">
        <v>221</v>
      </c>
      <c r="C46" s="11" t="s">
        <v>261</v>
      </c>
      <c r="D46" s="11" t="s">
        <v>4</v>
      </c>
      <c r="E46" s="11" t="s">
        <v>224</v>
      </c>
    </row>
  </sheetData>
  <mergeCells count="22">
    <mergeCell ref="A42:C42"/>
    <mergeCell ref="A44:E44"/>
    <mergeCell ref="C34:D34"/>
    <mergeCell ref="A36:E36"/>
    <mergeCell ref="A37:C37"/>
    <mergeCell ref="A40:E40"/>
    <mergeCell ref="A41"/>
    <mergeCell ref="A25:C25"/>
    <mergeCell ref="A27:E27"/>
    <mergeCell ref="A31:E31"/>
    <mergeCell ref="A32:E32"/>
    <mergeCell ref="C33:D33"/>
    <mergeCell ref="C17:D17"/>
    <mergeCell ref="A19:E19"/>
    <mergeCell ref="A20:C20"/>
    <mergeCell ref="A23:E23"/>
    <mergeCell ref="A24"/>
    <mergeCell ref="A5:E5"/>
    <mergeCell ref="A6:E6"/>
    <mergeCell ref="A14:E14"/>
    <mergeCell ref="A15:E15"/>
    <mergeCell ref="C16:D16"/>
  </mergeCells>
  <hyperlinks>
    <hyperlink ref="A2" location="'13.2'!A1" display="13.2.11" xr:uid="{00000000-0004-0000-0C00-000000000000}"/>
    <hyperlink ref="F2" location="'13.2.11E'!A1" display="29" xr:uid="{00000000-0004-0000-0C00-000001000000}"/>
    <hyperlink ref="E11" location="'13.2.11E'!A1" display="'13.2.11E'!A1" xr:uid="{00000000-0004-0000-0C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DFF0D8"/>
  </sheetPr>
  <dimension ref="A1:I46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57</v>
      </c>
      <c r="B2" s="6" t="s">
        <v>58</v>
      </c>
      <c r="C2" s="6" t="s">
        <v>14</v>
      </c>
      <c r="D2" s="6" t="s">
        <v>59</v>
      </c>
      <c r="E2" s="6" t="s">
        <v>16</v>
      </c>
      <c r="F2" s="6" t="s">
        <v>262</v>
      </c>
      <c r="G2" s="6">
        <v>96.14</v>
      </c>
      <c r="H2" s="6">
        <v>115.22379000000001</v>
      </c>
      <c r="I2" s="6">
        <v>2074.0282200000001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10</v>
      </c>
      <c r="D8" s="11" t="s">
        <v>239</v>
      </c>
      <c r="E8" s="11">
        <v>10</v>
      </c>
    </row>
    <row r="9" spans="1:9">
      <c r="A9" s="11">
        <v>2</v>
      </c>
      <c r="B9" s="11" t="s">
        <v>205</v>
      </c>
      <c r="C9" s="11">
        <v>8</v>
      </c>
      <c r="D9" s="11" t="s">
        <v>239</v>
      </c>
      <c r="E9" s="11">
        <v>8</v>
      </c>
    </row>
    <row r="10" spans="1:9">
      <c r="A10" s="11" t="s">
        <v>207</v>
      </c>
      <c r="B10" s="11" t="s">
        <v>207</v>
      </c>
      <c r="C10" s="11">
        <f>SUBTOTAL(109,Criteria_Summary13.2.12[Elementos])</f>
        <v>18</v>
      </c>
      <c r="D10" s="11" t="s">
        <v>207</v>
      </c>
      <c r="E10" s="11">
        <f>SUBTOTAL(109,Criteria_Summary13.2.12[Total])</f>
        <v>18</v>
      </c>
    </row>
    <row r="11" spans="1:9" ht="30">
      <c r="A11" s="12" t="s">
        <v>263</v>
      </c>
      <c r="B11" s="12">
        <v>1</v>
      </c>
      <c r="C11" s="13"/>
      <c r="D11" s="13"/>
      <c r="E11" s="12">
        <v>18</v>
      </c>
    </row>
    <row r="14" spans="1:9">
      <c r="A14" s="18" t="s">
        <v>239</v>
      </c>
      <c r="B14" s="18" t="s">
        <v>239</v>
      </c>
      <c r="C14" s="18" t="s">
        <v>239</v>
      </c>
      <c r="D14" s="18" t="s">
        <v>239</v>
      </c>
      <c r="E14" s="18" t="s">
        <v>239</v>
      </c>
    </row>
    <row r="15" spans="1:9">
      <c r="A15" s="19"/>
      <c r="B15" s="19"/>
      <c r="C15" s="19"/>
      <c r="D15" s="19"/>
      <c r="E15" s="19"/>
    </row>
    <row r="16" spans="1:9">
      <c r="A16" s="14" t="s">
        <v>202</v>
      </c>
      <c r="B16" s="14" t="s">
        <v>203</v>
      </c>
      <c r="C16" s="20" t="s">
        <v>209</v>
      </c>
      <c r="D16" s="20" t="s">
        <v>209</v>
      </c>
      <c r="E16" s="14" t="s">
        <v>9</v>
      </c>
    </row>
    <row r="17" spans="1:5">
      <c r="A17" s="11" t="s">
        <v>205</v>
      </c>
      <c r="B17" s="11">
        <v>10</v>
      </c>
      <c r="C17" s="21" t="s">
        <v>240</v>
      </c>
      <c r="D17" s="21" t="s">
        <v>240</v>
      </c>
      <c r="E17" s="11">
        <v>10</v>
      </c>
    </row>
    <row r="19" spans="1:5">
      <c r="A19" s="22" t="s">
        <v>230</v>
      </c>
      <c r="B19" s="22" t="s">
        <v>230</v>
      </c>
      <c r="C19" s="22" t="s">
        <v>230</v>
      </c>
      <c r="D19" s="22" t="s">
        <v>230</v>
      </c>
      <c r="E19" s="22" t="s">
        <v>230</v>
      </c>
    </row>
    <row r="20" spans="1:5">
      <c r="A20" s="20" t="s">
        <v>231</v>
      </c>
      <c r="B20" s="20" t="s">
        <v>231</v>
      </c>
      <c r="C20" s="20" t="s">
        <v>231</v>
      </c>
      <c r="D20" s="14" t="s">
        <v>232</v>
      </c>
      <c r="E20" s="14"/>
    </row>
    <row r="21" spans="1:5">
      <c r="A21" s="11"/>
      <c r="B21" s="11"/>
      <c r="C21" s="11"/>
      <c r="D21" s="11" t="s">
        <v>233</v>
      </c>
      <c r="E21" s="11" t="s">
        <v>215</v>
      </c>
    </row>
    <row r="23" spans="1:5">
      <c r="A23" s="22" t="s">
        <v>211</v>
      </c>
      <c r="B23" s="22" t="s">
        <v>211</v>
      </c>
      <c r="C23" s="22" t="s">
        <v>211</v>
      </c>
      <c r="D23" s="22" t="s">
        <v>211</v>
      </c>
      <c r="E23" s="22" t="s">
        <v>211</v>
      </c>
    </row>
    <row r="24" spans="1:5">
      <c r="A24" s="20" t="s">
        <v>212</v>
      </c>
      <c r="B24" s="14"/>
      <c r="C24" s="14"/>
      <c r="D24" s="14" t="s">
        <v>202</v>
      </c>
      <c r="E24" s="14"/>
    </row>
    <row r="25" spans="1:5">
      <c r="A25" s="21" t="s">
        <v>254</v>
      </c>
      <c r="B25" s="21" t="s">
        <v>254</v>
      </c>
      <c r="C25" s="21" t="s">
        <v>254</v>
      </c>
      <c r="D25" s="11" t="s">
        <v>264</v>
      </c>
      <c r="E25" s="11" t="s">
        <v>215</v>
      </c>
    </row>
    <row r="27" spans="1:5">
      <c r="A27" s="22" t="s">
        <v>216</v>
      </c>
      <c r="B27" s="22" t="s">
        <v>216</v>
      </c>
      <c r="C27" s="22" t="s">
        <v>216</v>
      </c>
      <c r="D27" s="22" t="s">
        <v>216</v>
      </c>
      <c r="E27" s="22" t="s">
        <v>216</v>
      </c>
    </row>
    <row r="28" spans="1:5">
      <c r="A28" s="14" t="s">
        <v>202</v>
      </c>
      <c r="B28" s="14" t="s">
        <v>217</v>
      </c>
      <c r="C28" s="14" t="s">
        <v>218</v>
      </c>
      <c r="D28" s="14" t="s">
        <v>219</v>
      </c>
      <c r="E28" s="14"/>
    </row>
    <row r="29" spans="1:5" ht="48.75">
      <c r="A29" s="11" t="s">
        <v>220</v>
      </c>
      <c r="B29" s="11" t="s">
        <v>221</v>
      </c>
      <c r="C29" s="11" t="s">
        <v>265</v>
      </c>
      <c r="D29" s="11" t="s">
        <v>223</v>
      </c>
      <c r="E29" s="11" t="s">
        <v>224</v>
      </c>
    </row>
    <row r="31" spans="1:5">
      <c r="A31" s="18" t="s">
        <v>239</v>
      </c>
      <c r="B31" s="18" t="s">
        <v>239</v>
      </c>
      <c r="C31" s="18" t="s">
        <v>239</v>
      </c>
      <c r="D31" s="18" t="s">
        <v>239</v>
      </c>
      <c r="E31" s="18" t="s">
        <v>239</v>
      </c>
    </row>
    <row r="32" spans="1:5">
      <c r="A32" s="19"/>
      <c r="B32" s="19"/>
      <c r="C32" s="19"/>
      <c r="D32" s="19"/>
      <c r="E32" s="19"/>
    </row>
    <row r="33" spans="1:5">
      <c r="A33" s="14" t="s">
        <v>202</v>
      </c>
      <c r="B33" s="14" t="s">
        <v>203</v>
      </c>
      <c r="C33" s="20" t="s">
        <v>209</v>
      </c>
      <c r="D33" s="20" t="s">
        <v>209</v>
      </c>
      <c r="E33" s="14" t="s">
        <v>9</v>
      </c>
    </row>
    <row r="34" spans="1:5">
      <c r="A34" s="11" t="s">
        <v>205</v>
      </c>
      <c r="B34" s="11">
        <v>8</v>
      </c>
      <c r="C34" s="21" t="s">
        <v>240</v>
      </c>
      <c r="D34" s="21" t="s">
        <v>240</v>
      </c>
      <c r="E34" s="11">
        <v>8</v>
      </c>
    </row>
    <row r="36" spans="1:5">
      <c r="A36" s="22" t="s">
        <v>230</v>
      </c>
      <c r="B36" s="22" t="s">
        <v>230</v>
      </c>
      <c r="C36" s="22" t="s">
        <v>230</v>
      </c>
      <c r="D36" s="22" t="s">
        <v>230</v>
      </c>
      <c r="E36" s="22" t="s">
        <v>230</v>
      </c>
    </row>
    <row r="37" spans="1:5">
      <c r="A37" s="20" t="s">
        <v>231</v>
      </c>
      <c r="B37" s="20" t="s">
        <v>231</v>
      </c>
      <c r="C37" s="20" t="s">
        <v>231</v>
      </c>
      <c r="D37" s="14" t="s">
        <v>232</v>
      </c>
      <c r="E37" s="14"/>
    </row>
    <row r="38" spans="1:5">
      <c r="A38" s="11"/>
      <c r="B38" s="11"/>
      <c r="C38" s="11"/>
      <c r="D38" s="11" t="s">
        <v>233</v>
      </c>
      <c r="E38" s="11" t="s">
        <v>215</v>
      </c>
    </row>
    <row r="40" spans="1:5">
      <c r="A40" s="22" t="s">
        <v>211</v>
      </c>
      <c r="B40" s="22" t="s">
        <v>211</v>
      </c>
      <c r="C40" s="22" t="s">
        <v>211</v>
      </c>
      <c r="D40" s="22" t="s">
        <v>211</v>
      </c>
      <c r="E40" s="22" t="s">
        <v>211</v>
      </c>
    </row>
    <row r="41" spans="1:5">
      <c r="A41" s="20" t="s">
        <v>212</v>
      </c>
      <c r="B41" s="14"/>
      <c r="C41" s="14"/>
      <c r="D41" s="14" t="s">
        <v>202</v>
      </c>
      <c r="E41" s="14"/>
    </row>
    <row r="42" spans="1:5">
      <c r="A42" s="21" t="s">
        <v>254</v>
      </c>
      <c r="B42" s="21" t="s">
        <v>254</v>
      </c>
      <c r="C42" s="21" t="s">
        <v>254</v>
      </c>
      <c r="D42" s="11" t="s">
        <v>266</v>
      </c>
      <c r="E42" s="11" t="s">
        <v>215</v>
      </c>
    </row>
    <row r="44" spans="1:5">
      <c r="A44" s="22" t="s">
        <v>216</v>
      </c>
      <c r="B44" s="22" t="s">
        <v>216</v>
      </c>
      <c r="C44" s="22" t="s">
        <v>216</v>
      </c>
      <c r="D44" s="22" t="s">
        <v>216</v>
      </c>
      <c r="E44" s="22" t="s">
        <v>216</v>
      </c>
    </row>
    <row r="45" spans="1:5">
      <c r="A45" s="14" t="s">
        <v>202</v>
      </c>
      <c r="B45" s="14" t="s">
        <v>217</v>
      </c>
      <c r="C45" s="14" t="s">
        <v>218</v>
      </c>
      <c r="D45" s="14" t="s">
        <v>219</v>
      </c>
      <c r="E45" s="14"/>
    </row>
    <row r="46" spans="1:5" ht="60.75">
      <c r="A46" s="11" t="s">
        <v>202</v>
      </c>
      <c r="B46" s="11" t="s">
        <v>221</v>
      </c>
      <c r="C46" s="11" t="s">
        <v>267</v>
      </c>
      <c r="D46" s="11" t="s">
        <v>4</v>
      </c>
      <c r="E46" s="11" t="s">
        <v>224</v>
      </c>
    </row>
  </sheetData>
  <mergeCells count="22">
    <mergeCell ref="A42:C42"/>
    <mergeCell ref="A44:E44"/>
    <mergeCell ref="C34:D34"/>
    <mergeCell ref="A36:E36"/>
    <mergeCell ref="A37:C37"/>
    <mergeCell ref="A40:E40"/>
    <mergeCell ref="A41"/>
    <mergeCell ref="A25:C25"/>
    <mergeCell ref="A27:E27"/>
    <mergeCell ref="A31:E31"/>
    <mergeCell ref="A32:E32"/>
    <mergeCell ref="C33:D33"/>
    <mergeCell ref="C17:D17"/>
    <mergeCell ref="A19:E19"/>
    <mergeCell ref="A20:C20"/>
    <mergeCell ref="A23:E23"/>
    <mergeCell ref="A24"/>
    <mergeCell ref="A5:E5"/>
    <mergeCell ref="A6:E6"/>
    <mergeCell ref="A14:E14"/>
    <mergeCell ref="A15:E15"/>
    <mergeCell ref="C16:D16"/>
  </mergeCells>
  <hyperlinks>
    <hyperlink ref="A2" location="'13.2'!A1" display="13.2.12" xr:uid="{00000000-0004-0000-0D00-000000000000}"/>
    <hyperlink ref="F2" location="'13.2.12E'!A1" display="18" xr:uid="{00000000-0004-0000-0D00-000001000000}"/>
    <hyperlink ref="E11" location="'13.2.12E'!A1" display="'13.2.12E'!A1" xr:uid="{00000000-0004-0000-0D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61</v>
      </c>
      <c r="B2" s="6" t="s">
        <v>62</v>
      </c>
      <c r="C2" s="6" t="s">
        <v>14</v>
      </c>
      <c r="D2" s="6" t="s">
        <v>63</v>
      </c>
      <c r="E2" s="6" t="s">
        <v>16</v>
      </c>
      <c r="F2" s="6" t="s">
        <v>268</v>
      </c>
      <c r="G2" s="6">
        <v>9.4700000000000006</v>
      </c>
      <c r="H2" s="6">
        <v>11.349795000000002</v>
      </c>
      <c r="I2" s="6">
        <v>578.83954500000016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51</v>
      </c>
      <c r="D8" s="11" t="s">
        <v>269</v>
      </c>
      <c r="E8" s="11">
        <v>51</v>
      </c>
    </row>
    <row r="9" spans="1:9">
      <c r="A9" s="11" t="s">
        <v>207</v>
      </c>
      <c r="B9" s="11" t="s">
        <v>207</v>
      </c>
      <c r="C9" s="11">
        <f>SUBTOTAL(109,Criteria_Summary13.2.13[Elementos])</f>
        <v>51</v>
      </c>
      <c r="D9" s="11" t="s">
        <v>207</v>
      </c>
      <c r="E9" s="11">
        <f>SUBTOTAL(109,Criteria_Summary13.2.13[Total])</f>
        <v>51</v>
      </c>
    </row>
    <row r="10" spans="1:9">
      <c r="A10" s="12" t="s">
        <v>208</v>
      </c>
      <c r="B10" s="12">
        <v>0</v>
      </c>
      <c r="C10" s="13"/>
      <c r="D10" s="13"/>
      <c r="E10" s="12">
        <v>51</v>
      </c>
    </row>
    <row r="13" spans="1:9">
      <c r="A13" s="18" t="s">
        <v>269</v>
      </c>
      <c r="B13" s="18" t="s">
        <v>269</v>
      </c>
      <c r="C13" s="18" t="s">
        <v>269</v>
      </c>
      <c r="D13" s="18" t="s">
        <v>269</v>
      </c>
      <c r="E13" s="18" t="s">
        <v>269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51</v>
      </c>
      <c r="C16" s="21" t="s">
        <v>210</v>
      </c>
      <c r="D16" s="21" t="s">
        <v>210</v>
      </c>
      <c r="E16" s="11">
        <v>51</v>
      </c>
    </row>
    <row r="18" spans="1:5">
      <c r="A18" s="22" t="s">
        <v>216</v>
      </c>
      <c r="B18" s="22" t="s">
        <v>216</v>
      </c>
      <c r="C18" s="22" t="s">
        <v>216</v>
      </c>
      <c r="D18" s="22" t="s">
        <v>216</v>
      </c>
      <c r="E18" s="22" t="s">
        <v>216</v>
      </c>
    </row>
    <row r="19" spans="1:5">
      <c r="A19" s="14" t="s">
        <v>202</v>
      </c>
      <c r="B19" s="14" t="s">
        <v>217</v>
      </c>
      <c r="C19" s="14" t="s">
        <v>218</v>
      </c>
      <c r="D19" s="14" t="s">
        <v>219</v>
      </c>
      <c r="E19" s="14"/>
    </row>
    <row r="20" spans="1:5" ht="72.75">
      <c r="A20" s="11" t="s">
        <v>220</v>
      </c>
      <c r="B20" s="11" t="s">
        <v>221</v>
      </c>
      <c r="C20" s="11" t="s">
        <v>270</v>
      </c>
      <c r="D20" s="11" t="s">
        <v>223</v>
      </c>
      <c r="E20" s="11" t="s">
        <v>224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13" xr:uid="{00000000-0004-0000-0E00-000000000000}"/>
    <hyperlink ref="F2" location="'13.2.13E'!A1" display="51" xr:uid="{00000000-0004-0000-0E00-000001000000}"/>
    <hyperlink ref="E10" location="'13.2.13E'!A1" display="'13.2.13E'!A1" xr:uid="{00000000-0004-0000-0E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65</v>
      </c>
      <c r="B2" s="6" t="s">
        <v>66</v>
      </c>
      <c r="C2" s="6" t="s">
        <v>14</v>
      </c>
      <c r="D2" s="6" t="s">
        <v>67</v>
      </c>
      <c r="E2" s="6" t="s">
        <v>16</v>
      </c>
      <c r="F2" s="6" t="s">
        <v>271</v>
      </c>
      <c r="G2" s="6">
        <v>1.02</v>
      </c>
      <c r="H2" s="6">
        <v>1.2224700000000002</v>
      </c>
      <c r="I2" s="6">
        <v>19.559520000000003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16</v>
      </c>
      <c r="D8" s="11" t="s">
        <v>269</v>
      </c>
      <c r="E8" s="11">
        <v>16</v>
      </c>
    </row>
    <row r="9" spans="1:9">
      <c r="A9" s="11" t="s">
        <v>207</v>
      </c>
      <c r="B9" s="11" t="s">
        <v>207</v>
      </c>
      <c r="C9" s="11">
        <f>SUBTOTAL(109,Criteria_Summary13.2.14[Elementos])</f>
        <v>16</v>
      </c>
      <c r="D9" s="11" t="s">
        <v>207</v>
      </c>
      <c r="E9" s="11">
        <f>SUBTOTAL(109,Criteria_Summary13.2.14[Total])</f>
        <v>16</v>
      </c>
    </row>
    <row r="10" spans="1:9">
      <c r="A10" s="12" t="s">
        <v>208</v>
      </c>
      <c r="B10" s="12">
        <v>0</v>
      </c>
      <c r="C10" s="13"/>
      <c r="D10" s="13"/>
      <c r="E10" s="12">
        <v>16</v>
      </c>
    </row>
    <row r="13" spans="1:9">
      <c r="A13" s="18" t="s">
        <v>269</v>
      </c>
      <c r="B13" s="18" t="s">
        <v>269</v>
      </c>
      <c r="C13" s="18" t="s">
        <v>269</v>
      </c>
      <c r="D13" s="18" t="s">
        <v>269</v>
      </c>
      <c r="E13" s="18" t="s">
        <v>269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16</v>
      </c>
      <c r="C16" s="21" t="s">
        <v>210</v>
      </c>
      <c r="D16" s="21" t="s">
        <v>210</v>
      </c>
      <c r="E16" s="11">
        <v>16</v>
      </c>
    </row>
    <row r="18" spans="1:5">
      <c r="A18" s="22" t="s">
        <v>216</v>
      </c>
      <c r="B18" s="22" t="s">
        <v>216</v>
      </c>
      <c r="C18" s="22" t="s">
        <v>216</v>
      </c>
      <c r="D18" s="22" t="s">
        <v>216</v>
      </c>
      <c r="E18" s="22" t="s">
        <v>216</v>
      </c>
    </row>
    <row r="19" spans="1:5">
      <c r="A19" s="14" t="s">
        <v>202</v>
      </c>
      <c r="B19" s="14" t="s">
        <v>217</v>
      </c>
      <c r="C19" s="14" t="s">
        <v>218</v>
      </c>
      <c r="D19" s="14" t="s">
        <v>219</v>
      </c>
      <c r="E19" s="14"/>
    </row>
    <row r="20" spans="1:5" ht="48.75">
      <c r="A20" s="11" t="s">
        <v>220</v>
      </c>
      <c r="B20" s="11" t="s">
        <v>221</v>
      </c>
      <c r="C20" s="11" t="s">
        <v>272</v>
      </c>
      <c r="D20" s="11" t="s">
        <v>223</v>
      </c>
      <c r="E20" s="11" t="s">
        <v>224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14" xr:uid="{00000000-0004-0000-0F00-000000000000}"/>
    <hyperlink ref="F2" location="'13.2.14E'!A1" display="16" xr:uid="{00000000-0004-0000-0F00-000001000000}"/>
    <hyperlink ref="E10" location="'13.2.14E'!A1" display="'13.2.14E'!A1" xr:uid="{00000000-0004-0000-0F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69</v>
      </c>
      <c r="B2" s="6" t="s">
        <v>70</v>
      </c>
      <c r="C2" s="6" t="s">
        <v>14</v>
      </c>
      <c r="D2" s="6" t="s">
        <v>71</v>
      </c>
      <c r="E2" s="6" t="s">
        <v>16</v>
      </c>
      <c r="F2" s="6" t="s">
        <v>273</v>
      </c>
      <c r="G2" s="6">
        <v>7.93</v>
      </c>
      <c r="H2" s="6">
        <v>9.5041050000000009</v>
      </c>
      <c r="I2" s="6">
        <v>408.67651500000005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43</v>
      </c>
      <c r="D8" s="11" t="s">
        <v>269</v>
      </c>
      <c r="E8" s="11">
        <v>43</v>
      </c>
    </row>
    <row r="9" spans="1:9">
      <c r="A9" s="11" t="s">
        <v>207</v>
      </c>
      <c r="B9" s="11" t="s">
        <v>207</v>
      </c>
      <c r="C9" s="11">
        <f>SUBTOTAL(109,Criteria_Summary13.2.15[Elementos])</f>
        <v>43</v>
      </c>
      <c r="D9" s="11" t="s">
        <v>207</v>
      </c>
      <c r="E9" s="11">
        <f>SUBTOTAL(109,Criteria_Summary13.2.15[Total])</f>
        <v>43</v>
      </c>
    </row>
    <row r="10" spans="1:9">
      <c r="A10" s="12" t="s">
        <v>208</v>
      </c>
      <c r="B10" s="12">
        <v>0</v>
      </c>
      <c r="C10" s="13"/>
      <c r="D10" s="13"/>
      <c r="E10" s="12">
        <v>43</v>
      </c>
    </row>
    <row r="13" spans="1:9">
      <c r="A13" s="18" t="s">
        <v>269</v>
      </c>
      <c r="B13" s="18" t="s">
        <v>269</v>
      </c>
      <c r="C13" s="18" t="s">
        <v>269</v>
      </c>
      <c r="D13" s="18" t="s">
        <v>269</v>
      </c>
      <c r="E13" s="18" t="s">
        <v>269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43</v>
      </c>
      <c r="C16" s="21" t="s">
        <v>210</v>
      </c>
      <c r="D16" s="21" t="s">
        <v>210</v>
      </c>
      <c r="E16" s="11">
        <v>43</v>
      </c>
    </row>
    <row r="18" spans="1:5">
      <c r="A18" s="22" t="s">
        <v>216</v>
      </c>
      <c r="B18" s="22" t="s">
        <v>216</v>
      </c>
      <c r="C18" s="22" t="s">
        <v>216</v>
      </c>
      <c r="D18" s="22" t="s">
        <v>216</v>
      </c>
      <c r="E18" s="22" t="s">
        <v>216</v>
      </c>
    </row>
    <row r="19" spans="1:5">
      <c r="A19" s="14" t="s">
        <v>202</v>
      </c>
      <c r="B19" s="14" t="s">
        <v>217</v>
      </c>
      <c r="C19" s="14" t="s">
        <v>218</v>
      </c>
      <c r="D19" s="14" t="s">
        <v>219</v>
      </c>
      <c r="E19" s="14"/>
    </row>
    <row r="20" spans="1:5" ht="48.75">
      <c r="A20" s="11" t="s">
        <v>220</v>
      </c>
      <c r="B20" s="11" t="s">
        <v>221</v>
      </c>
      <c r="C20" s="11" t="s">
        <v>274</v>
      </c>
      <c r="D20" s="11" t="s">
        <v>223</v>
      </c>
      <c r="E20" s="11" t="s">
        <v>224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15" xr:uid="{00000000-0004-0000-1000-000000000000}"/>
    <hyperlink ref="F2" location="'13.2.15E'!A1" display="43" xr:uid="{00000000-0004-0000-1000-000001000000}"/>
    <hyperlink ref="E10" location="'13.2.15E'!A1" display="'13.2.15E'!A1" xr:uid="{00000000-0004-0000-10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73</v>
      </c>
      <c r="B2" s="6" t="s">
        <v>74</v>
      </c>
      <c r="C2" s="6" t="s">
        <v>14</v>
      </c>
      <c r="D2" s="6" t="s">
        <v>75</v>
      </c>
      <c r="E2" s="6" t="s">
        <v>16</v>
      </c>
      <c r="F2" s="6" t="s">
        <v>275</v>
      </c>
      <c r="G2" s="6">
        <v>25.74</v>
      </c>
      <c r="H2" s="6">
        <v>30.84939</v>
      </c>
      <c r="I2" s="6">
        <v>1018.02987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33</v>
      </c>
      <c r="D8" s="11" t="s">
        <v>269</v>
      </c>
      <c r="E8" s="11">
        <v>33</v>
      </c>
    </row>
    <row r="9" spans="1:9">
      <c r="A9" s="11" t="s">
        <v>207</v>
      </c>
      <c r="B9" s="11" t="s">
        <v>207</v>
      </c>
      <c r="C9" s="11">
        <f>SUBTOTAL(109,Criteria_Summary13.2.16[Elementos])</f>
        <v>33</v>
      </c>
      <c r="D9" s="11" t="s">
        <v>207</v>
      </c>
      <c r="E9" s="11">
        <f>SUBTOTAL(109,Criteria_Summary13.2.16[Total])</f>
        <v>33</v>
      </c>
    </row>
    <row r="10" spans="1:9">
      <c r="A10" s="12" t="s">
        <v>208</v>
      </c>
      <c r="B10" s="12">
        <v>0</v>
      </c>
      <c r="C10" s="13"/>
      <c r="D10" s="13"/>
      <c r="E10" s="12">
        <v>33</v>
      </c>
    </row>
    <row r="13" spans="1:9">
      <c r="A13" s="18" t="s">
        <v>269</v>
      </c>
      <c r="B13" s="18" t="s">
        <v>269</v>
      </c>
      <c r="C13" s="18" t="s">
        <v>269</v>
      </c>
      <c r="D13" s="18" t="s">
        <v>269</v>
      </c>
      <c r="E13" s="18" t="s">
        <v>269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33</v>
      </c>
      <c r="C16" s="21" t="s">
        <v>210</v>
      </c>
      <c r="D16" s="21" t="s">
        <v>210</v>
      </c>
      <c r="E16" s="11">
        <v>33</v>
      </c>
    </row>
    <row r="18" spans="1:5">
      <c r="A18" s="22" t="s">
        <v>216</v>
      </c>
      <c r="B18" s="22" t="s">
        <v>216</v>
      </c>
      <c r="C18" s="22" t="s">
        <v>216</v>
      </c>
      <c r="D18" s="22" t="s">
        <v>216</v>
      </c>
      <c r="E18" s="22" t="s">
        <v>216</v>
      </c>
    </row>
    <row r="19" spans="1:5">
      <c r="A19" s="14" t="s">
        <v>202</v>
      </c>
      <c r="B19" s="14" t="s">
        <v>217</v>
      </c>
      <c r="C19" s="14" t="s">
        <v>218</v>
      </c>
      <c r="D19" s="14" t="s">
        <v>219</v>
      </c>
      <c r="E19" s="14"/>
    </row>
    <row r="20" spans="1:5" ht="48.75">
      <c r="A20" s="11" t="s">
        <v>220</v>
      </c>
      <c r="B20" s="11" t="s">
        <v>221</v>
      </c>
      <c r="C20" s="11" t="s">
        <v>276</v>
      </c>
      <c r="D20" s="11" t="s">
        <v>223</v>
      </c>
      <c r="E20" s="11" t="s">
        <v>224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16" xr:uid="{00000000-0004-0000-1100-000000000000}"/>
    <hyperlink ref="F2" location="'13.2.16E'!A1" display="33" xr:uid="{00000000-0004-0000-1100-000001000000}"/>
    <hyperlink ref="E10" location="'13.2.16E'!A1" display="'13.2.16E'!A1" xr:uid="{00000000-0004-0000-11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77</v>
      </c>
      <c r="B2" s="6" t="s">
        <v>78</v>
      </c>
      <c r="C2" s="6" t="s">
        <v>14</v>
      </c>
      <c r="D2" s="6" t="s">
        <v>79</v>
      </c>
      <c r="E2" s="6" t="s">
        <v>16</v>
      </c>
      <c r="F2" s="6" t="s">
        <v>277</v>
      </c>
      <c r="G2" s="6">
        <v>9.33</v>
      </c>
      <c r="H2" s="6">
        <v>11.182005000000002</v>
      </c>
      <c r="I2" s="6">
        <v>592.64626500000008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53</v>
      </c>
      <c r="D8" s="11" t="s">
        <v>206</v>
      </c>
      <c r="E8" s="11">
        <v>53</v>
      </c>
    </row>
    <row r="9" spans="1:9">
      <c r="A9" s="11" t="s">
        <v>207</v>
      </c>
      <c r="B9" s="11" t="s">
        <v>207</v>
      </c>
      <c r="C9" s="11">
        <f>SUBTOTAL(109,Criteria_Summary13.2.17[Elementos])</f>
        <v>53</v>
      </c>
      <c r="D9" s="11" t="s">
        <v>207</v>
      </c>
      <c r="E9" s="11">
        <f>SUBTOTAL(109,Criteria_Summary13.2.17[Total])</f>
        <v>53</v>
      </c>
    </row>
    <row r="10" spans="1:9">
      <c r="A10" s="12" t="s">
        <v>208</v>
      </c>
      <c r="B10" s="12">
        <v>0</v>
      </c>
      <c r="C10" s="13"/>
      <c r="D10" s="13"/>
      <c r="E10" s="12">
        <v>53</v>
      </c>
    </row>
    <row r="13" spans="1:9">
      <c r="A13" s="18" t="s">
        <v>206</v>
      </c>
      <c r="B13" s="18" t="s">
        <v>206</v>
      </c>
      <c r="C13" s="18" t="s">
        <v>206</v>
      </c>
      <c r="D13" s="18" t="s">
        <v>206</v>
      </c>
      <c r="E13" s="18" t="s">
        <v>206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53</v>
      </c>
      <c r="C16" s="21" t="s">
        <v>210</v>
      </c>
      <c r="D16" s="21" t="s">
        <v>210</v>
      </c>
      <c r="E16" s="11">
        <v>53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278</v>
      </c>
      <c r="B24" s="21" t="s">
        <v>278</v>
      </c>
      <c r="C24" s="21" t="s">
        <v>278</v>
      </c>
      <c r="D24" s="11" t="s">
        <v>214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96.75">
      <c r="A28" s="11" t="s">
        <v>220</v>
      </c>
      <c r="B28" s="11" t="s">
        <v>221</v>
      </c>
      <c r="C28" s="11" t="s">
        <v>279</v>
      </c>
      <c r="D28" s="11" t="s">
        <v>223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17" xr:uid="{00000000-0004-0000-1200-000000000000}"/>
    <hyperlink ref="F2" location="'13.2.17E'!A1" display="53" xr:uid="{00000000-0004-0000-1200-000001000000}"/>
    <hyperlink ref="E10" location="'13.2.17E'!A1" display="'13.2.17E'!A1" xr:uid="{00000000-0004-0000-1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4" t="s">
        <v>10</v>
      </c>
      <c r="B2" s="5"/>
      <c r="C2" s="5"/>
      <c r="D2" s="4" t="s">
        <v>11</v>
      </c>
      <c r="E2" s="5"/>
      <c r="F2" s="4">
        <v>1</v>
      </c>
      <c r="G2" s="5"/>
      <c r="H2" s="5"/>
      <c r="I2" s="4">
        <v>100583.41497300001</v>
      </c>
    </row>
  </sheetData>
  <hyperlinks>
    <hyperlink ref="A2" location="'Orçamento'!A1" display="13.2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81</v>
      </c>
      <c r="B2" s="6" t="s">
        <v>82</v>
      </c>
      <c r="C2" s="6" t="s">
        <v>14</v>
      </c>
      <c r="D2" s="6" t="s">
        <v>83</v>
      </c>
      <c r="E2" s="6" t="s">
        <v>16</v>
      </c>
      <c r="F2" s="6" t="s">
        <v>200</v>
      </c>
      <c r="G2" s="6">
        <v>22.18</v>
      </c>
      <c r="H2" s="6">
        <v>26.582730000000002</v>
      </c>
      <c r="I2" s="6">
        <v>159.49638000000002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6</v>
      </c>
      <c r="D8" s="11" t="s">
        <v>280</v>
      </c>
      <c r="E8" s="11">
        <v>6</v>
      </c>
    </row>
    <row r="9" spans="1:9">
      <c r="A9" s="11" t="s">
        <v>207</v>
      </c>
      <c r="B9" s="11" t="s">
        <v>207</v>
      </c>
      <c r="C9" s="11">
        <f>SUBTOTAL(109,Criteria_Summary13.2.18[Elementos])</f>
        <v>6</v>
      </c>
      <c r="D9" s="11" t="s">
        <v>207</v>
      </c>
      <c r="E9" s="11">
        <f>SUBTOTAL(109,Criteria_Summary13.2.18[Total])</f>
        <v>6</v>
      </c>
    </row>
    <row r="10" spans="1:9">
      <c r="A10" s="12" t="s">
        <v>208</v>
      </c>
      <c r="B10" s="12">
        <v>0</v>
      </c>
      <c r="C10" s="13"/>
      <c r="D10" s="13"/>
      <c r="E10" s="12">
        <v>6</v>
      </c>
    </row>
    <row r="13" spans="1:9">
      <c r="A13" s="18" t="s">
        <v>280</v>
      </c>
      <c r="B13" s="18" t="s">
        <v>280</v>
      </c>
      <c r="C13" s="18" t="s">
        <v>280</v>
      </c>
      <c r="D13" s="18" t="s">
        <v>280</v>
      </c>
      <c r="E13" s="18" t="s">
        <v>280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6</v>
      </c>
      <c r="C16" s="21" t="s">
        <v>281</v>
      </c>
      <c r="D16" s="21" t="s">
        <v>281</v>
      </c>
      <c r="E16" s="11">
        <v>6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282</v>
      </c>
      <c r="B24" s="21" t="s">
        <v>282</v>
      </c>
      <c r="C24" s="21" t="s">
        <v>282</v>
      </c>
      <c r="D24" s="11" t="s">
        <v>283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24.75">
      <c r="A28" s="11" t="s">
        <v>202</v>
      </c>
      <c r="B28" s="11" t="s">
        <v>221</v>
      </c>
      <c r="C28" s="11" t="s">
        <v>284</v>
      </c>
      <c r="D28" s="11" t="s">
        <v>4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18" xr:uid="{00000000-0004-0000-1300-000000000000}"/>
    <hyperlink ref="F2" location="'13.2.18E'!A1" display="6" xr:uid="{00000000-0004-0000-1300-000001000000}"/>
    <hyperlink ref="E10" location="'13.2.18E'!A1" display="'13.2.18E'!A1" xr:uid="{00000000-0004-0000-1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84</v>
      </c>
      <c r="B2" s="6" t="s">
        <v>85</v>
      </c>
      <c r="C2" s="6" t="s">
        <v>14</v>
      </c>
      <c r="D2" s="6" t="s">
        <v>86</v>
      </c>
      <c r="E2" s="6" t="s">
        <v>16</v>
      </c>
      <c r="F2" s="6" t="s">
        <v>285</v>
      </c>
      <c r="G2" s="6">
        <v>18.53</v>
      </c>
      <c r="H2" s="6">
        <v>22.208205000000003</v>
      </c>
      <c r="I2" s="6">
        <v>977.16102000000012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44</v>
      </c>
      <c r="D8" s="11" t="s">
        <v>206</v>
      </c>
      <c r="E8" s="11">
        <v>44</v>
      </c>
    </row>
    <row r="9" spans="1:9">
      <c r="A9" s="11" t="s">
        <v>207</v>
      </c>
      <c r="B9" s="11" t="s">
        <v>207</v>
      </c>
      <c r="C9" s="11">
        <f>SUBTOTAL(109,Criteria_Summary13.2.19[Elementos])</f>
        <v>44</v>
      </c>
      <c r="D9" s="11" t="s">
        <v>207</v>
      </c>
      <c r="E9" s="11">
        <f>SUBTOTAL(109,Criteria_Summary13.2.19[Total])</f>
        <v>44</v>
      </c>
    </row>
    <row r="10" spans="1:9">
      <c r="A10" s="12" t="s">
        <v>208</v>
      </c>
      <c r="B10" s="12">
        <v>0</v>
      </c>
      <c r="C10" s="13"/>
      <c r="D10" s="13"/>
      <c r="E10" s="12">
        <v>44</v>
      </c>
    </row>
    <row r="13" spans="1:9">
      <c r="A13" s="18" t="s">
        <v>206</v>
      </c>
      <c r="B13" s="18" t="s">
        <v>206</v>
      </c>
      <c r="C13" s="18" t="s">
        <v>206</v>
      </c>
      <c r="D13" s="18" t="s">
        <v>206</v>
      </c>
      <c r="E13" s="18" t="s">
        <v>206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44</v>
      </c>
      <c r="C16" s="21" t="s">
        <v>210</v>
      </c>
      <c r="D16" s="21" t="s">
        <v>210</v>
      </c>
      <c r="E16" s="11">
        <v>44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286</v>
      </c>
      <c r="B24" s="21" t="s">
        <v>286</v>
      </c>
      <c r="C24" s="21" t="s">
        <v>286</v>
      </c>
      <c r="D24" s="11" t="s">
        <v>214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84.75">
      <c r="A28" s="11" t="s">
        <v>220</v>
      </c>
      <c r="B28" s="11" t="s">
        <v>221</v>
      </c>
      <c r="C28" s="11" t="s">
        <v>287</v>
      </c>
      <c r="D28" s="11" t="s">
        <v>223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19" xr:uid="{00000000-0004-0000-1400-000000000000}"/>
    <hyperlink ref="F2" location="'13.2.19E'!A1" display="44" xr:uid="{00000000-0004-0000-1400-000001000000}"/>
    <hyperlink ref="E10" location="'13.2.19E'!A1" display="'13.2.19E'!A1" xr:uid="{00000000-0004-0000-1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88</v>
      </c>
      <c r="B2" s="6" t="s">
        <v>89</v>
      </c>
      <c r="C2" s="6" t="s">
        <v>14</v>
      </c>
      <c r="D2" s="6" t="s">
        <v>90</v>
      </c>
      <c r="E2" s="6" t="s">
        <v>91</v>
      </c>
      <c r="F2" s="6" t="s">
        <v>92</v>
      </c>
      <c r="G2" s="6">
        <v>3.48</v>
      </c>
      <c r="H2" s="6">
        <v>4.1707800000000006</v>
      </c>
      <c r="I2" s="6">
        <v>3708.4073292000003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609</v>
      </c>
      <c r="D8" s="11" t="s">
        <v>288</v>
      </c>
      <c r="E8" s="11">
        <v>889.13894449013901</v>
      </c>
    </row>
    <row r="9" spans="1:9">
      <c r="A9" s="11" t="s">
        <v>207</v>
      </c>
      <c r="B9" s="11" t="s">
        <v>207</v>
      </c>
      <c r="C9" s="11">
        <f>SUBTOTAL(109,Criteria_Summary13.2.20[Elementos])</f>
        <v>609</v>
      </c>
      <c r="D9" s="11" t="s">
        <v>207</v>
      </c>
      <c r="E9" s="11">
        <f>SUBTOTAL(109,Criteria_Summary13.2.20[Total])</f>
        <v>889.13894449013901</v>
      </c>
    </row>
    <row r="10" spans="1:9">
      <c r="A10" s="12" t="s">
        <v>208</v>
      </c>
      <c r="B10" s="12">
        <v>0</v>
      </c>
      <c r="C10" s="13"/>
      <c r="D10" s="13"/>
      <c r="E10" s="12">
        <v>889.14</v>
      </c>
    </row>
    <row r="13" spans="1:9">
      <c r="A13" s="18" t="s">
        <v>288</v>
      </c>
      <c r="B13" s="18" t="s">
        <v>288</v>
      </c>
      <c r="C13" s="18" t="s">
        <v>288</v>
      </c>
      <c r="D13" s="18" t="s">
        <v>288</v>
      </c>
      <c r="E13" s="18" t="s">
        <v>288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609</v>
      </c>
      <c r="C16" s="21" t="s">
        <v>289</v>
      </c>
      <c r="D16" s="21" t="s">
        <v>289</v>
      </c>
      <c r="E16" s="11">
        <v>889.13894449013901</v>
      </c>
    </row>
    <row r="18" spans="1:5">
      <c r="A18" s="22" t="s">
        <v>216</v>
      </c>
      <c r="B18" s="22" t="s">
        <v>216</v>
      </c>
      <c r="C18" s="22" t="s">
        <v>216</v>
      </c>
      <c r="D18" s="22" t="s">
        <v>216</v>
      </c>
      <c r="E18" s="22" t="s">
        <v>216</v>
      </c>
    </row>
    <row r="19" spans="1:5">
      <c r="A19" s="14" t="s">
        <v>202</v>
      </c>
      <c r="B19" s="14" t="s">
        <v>217</v>
      </c>
      <c r="C19" s="14" t="s">
        <v>218</v>
      </c>
      <c r="D19" s="14" t="s">
        <v>219</v>
      </c>
      <c r="E19" s="14"/>
    </row>
    <row r="20" spans="1:5">
      <c r="A20" s="11" t="s">
        <v>220</v>
      </c>
      <c r="B20" s="11" t="s">
        <v>221</v>
      </c>
      <c r="C20" s="11" t="s">
        <v>290</v>
      </c>
      <c r="D20" s="11" t="s">
        <v>291</v>
      </c>
      <c r="E20" s="11" t="s">
        <v>224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20" xr:uid="{00000000-0004-0000-1500-000000000000}"/>
    <hyperlink ref="F2" location="'13.2.20E'!A1" display="889,14" xr:uid="{00000000-0004-0000-1500-000001000000}"/>
    <hyperlink ref="E10" location="'13.2.20E'!A1" display="'13.2.20E'!A1" xr:uid="{00000000-0004-0000-1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93</v>
      </c>
      <c r="B2" s="6" t="s">
        <v>94</v>
      </c>
      <c r="C2" s="6" t="s">
        <v>14</v>
      </c>
      <c r="D2" s="6" t="s">
        <v>95</v>
      </c>
      <c r="E2" s="6" t="s">
        <v>91</v>
      </c>
      <c r="F2" s="6" t="s">
        <v>96</v>
      </c>
      <c r="G2" s="6">
        <v>7.77</v>
      </c>
      <c r="H2" s="6">
        <v>9.3123450000000005</v>
      </c>
      <c r="I2" s="6">
        <v>4.7492959500000005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8</v>
      </c>
      <c r="D8" s="11" t="s">
        <v>288</v>
      </c>
      <c r="E8" s="11">
        <v>0.50861823072694079</v>
      </c>
    </row>
    <row r="9" spans="1:9">
      <c r="A9" s="11" t="s">
        <v>207</v>
      </c>
      <c r="B9" s="11" t="s">
        <v>207</v>
      </c>
      <c r="C9" s="11">
        <f>SUBTOTAL(109,Criteria_Summary13.2.21[Elementos])</f>
        <v>8</v>
      </c>
      <c r="D9" s="11" t="s">
        <v>207</v>
      </c>
      <c r="E9" s="11">
        <f>SUBTOTAL(109,Criteria_Summary13.2.21[Total])</f>
        <v>0.50861823072694079</v>
      </c>
    </row>
    <row r="10" spans="1:9">
      <c r="A10" s="12" t="s">
        <v>208</v>
      </c>
      <c r="B10" s="12">
        <v>0</v>
      </c>
      <c r="C10" s="13"/>
      <c r="D10" s="13"/>
      <c r="E10" s="12">
        <v>0.51</v>
      </c>
    </row>
    <row r="13" spans="1:9">
      <c r="A13" s="18" t="s">
        <v>288</v>
      </c>
      <c r="B13" s="18" t="s">
        <v>288</v>
      </c>
      <c r="C13" s="18" t="s">
        <v>288</v>
      </c>
      <c r="D13" s="18" t="s">
        <v>288</v>
      </c>
      <c r="E13" s="18" t="s">
        <v>288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8</v>
      </c>
      <c r="C16" s="21" t="s">
        <v>289</v>
      </c>
      <c r="D16" s="21" t="s">
        <v>289</v>
      </c>
      <c r="E16" s="11">
        <v>0.50861823072694079</v>
      </c>
    </row>
    <row r="18" spans="1:5">
      <c r="A18" s="22" t="s">
        <v>216</v>
      </c>
      <c r="B18" s="22" t="s">
        <v>216</v>
      </c>
      <c r="C18" s="22" t="s">
        <v>216</v>
      </c>
      <c r="D18" s="22" t="s">
        <v>216</v>
      </c>
      <c r="E18" s="22" t="s">
        <v>216</v>
      </c>
    </row>
    <row r="19" spans="1:5">
      <c r="A19" s="14" t="s">
        <v>202</v>
      </c>
      <c r="B19" s="14" t="s">
        <v>217</v>
      </c>
      <c r="C19" s="14" t="s">
        <v>218</v>
      </c>
      <c r="D19" s="14" t="s">
        <v>219</v>
      </c>
      <c r="E19" s="14"/>
    </row>
    <row r="20" spans="1:5">
      <c r="A20" s="11" t="s">
        <v>220</v>
      </c>
      <c r="B20" s="11" t="s">
        <v>221</v>
      </c>
      <c r="C20" s="11" t="s">
        <v>292</v>
      </c>
      <c r="D20" s="11" t="s">
        <v>291</v>
      </c>
      <c r="E20" s="11" t="s">
        <v>224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21" xr:uid="{00000000-0004-0000-1600-000000000000}"/>
    <hyperlink ref="F2" location="'13.2.21E'!A1" display="0,51" xr:uid="{00000000-0004-0000-1600-000001000000}"/>
    <hyperlink ref="E10" location="'13.2.21E'!A1" display="'13.2.21E'!A1" xr:uid="{00000000-0004-0000-1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DFF0D8"/>
  </sheetPr>
  <dimension ref="A1:I25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97</v>
      </c>
      <c r="B2" s="6" t="s">
        <v>98</v>
      </c>
      <c r="C2" s="6" t="s">
        <v>14</v>
      </c>
      <c r="D2" s="6" t="s">
        <v>99</v>
      </c>
      <c r="E2" s="6" t="s">
        <v>91</v>
      </c>
      <c r="F2" s="6" t="s">
        <v>100</v>
      </c>
      <c r="G2" s="6">
        <v>20.96</v>
      </c>
      <c r="H2" s="6">
        <v>25.120560000000005</v>
      </c>
      <c r="I2" s="6">
        <v>7886.3486064000017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254</v>
      </c>
      <c r="D8" s="11" t="s">
        <v>293</v>
      </c>
      <c r="E8" s="11">
        <v>313.93801804655965</v>
      </c>
    </row>
    <row r="9" spans="1:9">
      <c r="A9" s="11" t="s">
        <v>207</v>
      </c>
      <c r="B9" s="11" t="s">
        <v>207</v>
      </c>
      <c r="C9" s="11">
        <f>SUBTOTAL(109,Criteria_Summary13.2.22[Elementos])</f>
        <v>254</v>
      </c>
      <c r="D9" s="11" t="s">
        <v>207</v>
      </c>
      <c r="E9" s="11">
        <f>SUBTOTAL(109,Criteria_Summary13.2.22[Total])</f>
        <v>313.93801804655965</v>
      </c>
    </row>
    <row r="10" spans="1:9">
      <c r="A10" s="12" t="s">
        <v>208</v>
      </c>
      <c r="B10" s="12">
        <v>0</v>
      </c>
      <c r="C10" s="13"/>
      <c r="D10" s="13"/>
      <c r="E10" s="12">
        <v>313.94</v>
      </c>
    </row>
    <row r="13" spans="1:9">
      <c r="A13" s="18" t="s">
        <v>293</v>
      </c>
      <c r="B13" s="18" t="s">
        <v>293</v>
      </c>
      <c r="C13" s="18" t="s">
        <v>293</v>
      </c>
      <c r="D13" s="18" t="s">
        <v>293</v>
      </c>
      <c r="E13" s="18" t="s">
        <v>293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254</v>
      </c>
      <c r="C16" s="21" t="s">
        <v>289</v>
      </c>
      <c r="D16" s="21" t="s">
        <v>289</v>
      </c>
      <c r="E16" s="11">
        <v>313.93801804655965</v>
      </c>
    </row>
    <row r="18" spans="1:5">
      <c r="A18" s="22" t="s">
        <v>211</v>
      </c>
      <c r="B18" s="22" t="s">
        <v>211</v>
      </c>
      <c r="C18" s="22" t="s">
        <v>211</v>
      </c>
      <c r="D18" s="22" t="s">
        <v>211</v>
      </c>
      <c r="E18" s="22" t="s">
        <v>211</v>
      </c>
    </row>
    <row r="19" spans="1:5">
      <c r="A19" s="20" t="s">
        <v>212</v>
      </c>
      <c r="B19" s="14"/>
      <c r="C19" s="14"/>
      <c r="D19" s="14" t="s">
        <v>202</v>
      </c>
      <c r="E19" s="14"/>
    </row>
    <row r="20" spans="1:5">
      <c r="A20" s="21" t="s">
        <v>294</v>
      </c>
      <c r="B20" s="21" t="s">
        <v>294</v>
      </c>
      <c r="C20" s="21" t="s">
        <v>294</v>
      </c>
      <c r="D20" s="11" t="s">
        <v>295</v>
      </c>
      <c r="E20" s="11" t="s">
        <v>215</v>
      </c>
    </row>
    <row r="22" spans="1:5">
      <c r="A22" s="22" t="s">
        <v>216</v>
      </c>
      <c r="B22" s="22" t="s">
        <v>216</v>
      </c>
      <c r="C22" s="22" t="s">
        <v>216</v>
      </c>
      <c r="D22" s="22" t="s">
        <v>216</v>
      </c>
      <c r="E22" s="22" t="s">
        <v>216</v>
      </c>
    </row>
    <row r="23" spans="1:5">
      <c r="A23" s="14" t="s">
        <v>202</v>
      </c>
      <c r="B23" s="14" t="s">
        <v>217</v>
      </c>
      <c r="C23" s="14" t="s">
        <v>218</v>
      </c>
      <c r="D23" s="14" t="s">
        <v>219</v>
      </c>
      <c r="E23" s="14"/>
    </row>
    <row r="24" spans="1:5" ht="36.75">
      <c r="A24" s="11" t="s">
        <v>202</v>
      </c>
      <c r="B24" s="11" t="s">
        <v>221</v>
      </c>
      <c r="C24" s="11" t="s">
        <v>296</v>
      </c>
      <c r="D24" s="11" t="s">
        <v>4</v>
      </c>
      <c r="E24" s="11" t="s">
        <v>224</v>
      </c>
    </row>
    <row r="25" spans="1:5">
      <c r="A25" s="11" t="s">
        <v>220</v>
      </c>
      <c r="B25" s="11" t="s">
        <v>221</v>
      </c>
      <c r="C25" s="11" t="s">
        <v>297</v>
      </c>
      <c r="D25" s="11" t="s">
        <v>291</v>
      </c>
      <c r="E25" s="11" t="s">
        <v>224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2'!A1" display="13.2.22" xr:uid="{00000000-0004-0000-1700-000000000000}"/>
    <hyperlink ref="F2" location="'13.2.22E'!A1" display="313,94" xr:uid="{00000000-0004-0000-1700-000001000000}"/>
    <hyperlink ref="E10" location="'13.2.22E'!A1" display="'13.2.22E'!A1" xr:uid="{00000000-0004-0000-1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101</v>
      </c>
      <c r="B2" s="6" t="s">
        <v>102</v>
      </c>
      <c r="C2" s="6" t="s">
        <v>14</v>
      </c>
      <c r="D2" s="6" t="s">
        <v>103</v>
      </c>
      <c r="E2" s="6" t="s">
        <v>91</v>
      </c>
      <c r="F2" s="6" t="s">
        <v>104</v>
      </c>
      <c r="G2" s="6">
        <v>13.01</v>
      </c>
      <c r="H2" s="6">
        <v>15.592485000000002</v>
      </c>
      <c r="I2" s="6">
        <v>2940.2748964500001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317</v>
      </c>
      <c r="D8" s="11" t="s">
        <v>288</v>
      </c>
      <c r="E8" s="11">
        <v>188.56546905739745</v>
      </c>
    </row>
    <row r="9" spans="1:9">
      <c r="A9" s="11" t="s">
        <v>207</v>
      </c>
      <c r="B9" s="11" t="s">
        <v>207</v>
      </c>
      <c r="C9" s="11">
        <f>SUBTOTAL(109,Criteria_Summary13.2.23[Elementos])</f>
        <v>317</v>
      </c>
      <c r="D9" s="11" t="s">
        <v>207</v>
      </c>
      <c r="E9" s="11">
        <f>SUBTOTAL(109,Criteria_Summary13.2.23[Total])</f>
        <v>188.56546905739745</v>
      </c>
    </row>
    <row r="10" spans="1:9">
      <c r="A10" s="12" t="s">
        <v>208</v>
      </c>
      <c r="B10" s="12">
        <v>0</v>
      </c>
      <c r="C10" s="13"/>
      <c r="D10" s="13"/>
      <c r="E10" s="12">
        <v>188.57</v>
      </c>
    </row>
    <row r="13" spans="1:9">
      <c r="A13" s="18" t="s">
        <v>288</v>
      </c>
      <c r="B13" s="18" t="s">
        <v>288</v>
      </c>
      <c r="C13" s="18" t="s">
        <v>288</v>
      </c>
      <c r="D13" s="18" t="s">
        <v>288</v>
      </c>
      <c r="E13" s="18" t="s">
        <v>288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317</v>
      </c>
      <c r="C16" s="21" t="s">
        <v>289</v>
      </c>
      <c r="D16" s="21" t="s">
        <v>289</v>
      </c>
      <c r="E16" s="11">
        <v>188.56546905739745</v>
      </c>
    </row>
    <row r="18" spans="1:5">
      <c r="A18" s="22" t="s">
        <v>216</v>
      </c>
      <c r="B18" s="22" t="s">
        <v>216</v>
      </c>
      <c r="C18" s="22" t="s">
        <v>216</v>
      </c>
      <c r="D18" s="22" t="s">
        <v>216</v>
      </c>
      <c r="E18" s="22" t="s">
        <v>216</v>
      </c>
    </row>
    <row r="19" spans="1:5">
      <c r="A19" s="14" t="s">
        <v>202</v>
      </c>
      <c r="B19" s="14" t="s">
        <v>217</v>
      </c>
      <c r="C19" s="14" t="s">
        <v>218</v>
      </c>
      <c r="D19" s="14" t="s">
        <v>219</v>
      </c>
      <c r="E19" s="14"/>
    </row>
    <row r="20" spans="1:5">
      <c r="A20" s="11" t="s">
        <v>220</v>
      </c>
      <c r="B20" s="11" t="s">
        <v>221</v>
      </c>
      <c r="C20" s="11" t="s">
        <v>298</v>
      </c>
      <c r="D20" s="11" t="s">
        <v>291</v>
      </c>
      <c r="E20" s="11" t="s">
        <v>224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23" xr:uid="{00000000-0004-0000-1800-000000000000}"/>
    <hyperlink ref="F2" location="'13.2.23E'!A1" display="188,57" xr:uid="{00000000-0004-0000-1800-000001000000}"/>
    <hyperlink ref="E10" location="'13.2.23E'!A1" display="'13.2.23E'!A1" xr:uid="{00000000-0004-0000-1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DFF0D8"/>
  </sheetPr>
  <dimension ref="A1:I28"/>
  <sheetViews>
    <sheetView showGridLines="0" tabSelected="1" workbookViewId="0">
      <selection activeCell="B2" sqref="B2:D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105</v>
      </c>
      <c r="B2" s="6" t="s">
        <v>3338</v>
      </c>
      <c r="C2" s="6" t="s">
        <v>14</v>
      </c>
      <c r="D2" s="6" t="s">
        <v>3339</v>
      </c>
      <c r="E2" s="6" t="s">
        <v>16</v>
      </c>
      <c r="F2" s="6" t="s">
        <v>299</v>
      </c>
      <c r="G2" s="6">
        <v>18.53</v>
      </c>
      <c r="H2" s="6">
        <v>22.208205000000003</v>
      </c>
      <c r="I2" s="6">
        <v>244.29025500000003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11</v>
      </c>
      <c r="D8" s="11" t="s">
        <v>206</v>
      </c>
      <c r="E8" s="11">
        <v>11</v>
      </c>
    </row>
    <row r="9" spans="1:9">
      <c r="A9" s="11" t="s">
        <v>207</v>
      </c>
      <c r="B9" s="11" t="s">
        <v>207</v>
      </c>
      <c r="C9" s="11">
        <f>SUBTOTAL(109,Criteria_Summary13.2.24[Elementos])</f>
        <v>11</v>
      </c>
      <c r="D9" s="11" t="s">
        <v>207</v>
      </c>
      <c r="E9" s="11">
        <f>SUBTOTAL(109,Criteria_Summary13.2.24[Total])</f>
        <v>11</v>
      </c>
    </row>
    <row r="10" spans="1:9">
      <c r="A10" s="12" t="s">
        <v>208</v>
      </c>
      <c r="B10" s="12">
        <v>0</v>
      </c>
      <c r="C10" s="13"/>
      <c r="D10" s="13"/>
      <c r="E10" s="12">
        <v>11</v>
      </c>
    </row>
    <row r="13" spans="1:9">
      <c r="A13" s="18" t="s">
        <v>206</v>
      </c>
      <c r="B13" s="18" t="s">
        <v>206</v>
      </c>
      <c r="C13" s="18" t="s">
        <v>206</v>
      </c>
      <c r="D13" s="18" t="s">
        <v>206</v>
      </c>
      <c r="E13" s="18" t="s">
        <v>206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11</v>
      </c>
      <c r="C16" s="21" t="s">
        <v>210</v>
      </c>
      <c r="D16" s="21" t="s">
        <v>210</v>
      </c>
      <c r="E16" s="11">
        <v>11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286</v>
      </c>
      <c r="B24" s="21" t="s">
        <v>286</v>
      </c>
      <c r="C24" s="21" t="s">
        <v>286</v>
      </c>
      <c r="D24" s="11" t="s">
        <v>214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84.75">
      <c r="A28" s="11" t="s">
        <v>220</v>
      </c>
      <c r="B28" s="11" t="s">
        <v>221</v>
      </c>
      <c r="C28" s="11" t="s">
        <v>300</v>
      </c>
      <c r="D28" s="11" t="s">
        <v>223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24" xr:uid="{00000000-0004-0000-1900-000000000000}"/>
    <hyperlink ref="F2" location="'13.2.24E'!A1" display="11" xr:uid="{00000000-0004-0000-1900-000001000000}"/>
    <hyperlink ref="E10" location="'13.2.24E'!A1" display="'13.2.24E'!A1" xr:uid="{00000000-0004-0000-1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108</v>
      </c>
      <c r="B2" s="6" t="s">
        <v>109</v>
      </c>
      <c r="C2" s="6" t="s">
        <v>32</v>
      </c>
      <c r="D2" s="6" t="s">
        <v>110</v>
      </c>
      <c r="E2" s="6" t="s">
        <v>16</v>
      </c>
      <c r="F2" s="6" t="s">
        <v>301</v>
      </c>
      <c r="G2" s="6">
        <v>14.07</v>
      </c>
      <c r="H2" s="6">
        <v>16.862895000000002</v>
      </c>
      <c r="I2" s="6">
        <v>33.725790000000003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2</v>
      </c>
      <c r="D8" s="11" t="s">
        <v>206</v>
      </c>
      <c r="E8" s="11">
        <v>2</v>
      </c>
    </row>
    <row r="9" spans="1:9">
      <c r="A9" s="11" t="s">
        <v>207</v>
      </c>
      <c r="B9" s="11" t="s">
        <v>207</v>
      </c>
      <c r="C9" s="11">
        <f>SUBTOTAL(109,Criteria_Summary13.2.25[Elementos])</f>
        <v>2</v>
      </c>
      <c r="D9" s="11" t="s">
        <v>207</v>
      </c>
      <c r="E9" s="11">
        <f>SUBTOTAL(109,Criteria_Summary13.2.25[Total])</f>
        <v>2</v>
      </c>
    </row>
    <row r="10" spans="1:9">
      <c r="A10" s="12" t="s">
        <v>208</v>
      </c>
      <c r="B10" s="12">
        <v>0</v>
      </c>
      <c r="C10" s="13"/>
      <c r="D10" s="13"/>
      <c r="E10" s="12">
        <v>2</v>
      </c>
    </row>
    <row r="13" spans="1:9">
      <c r="A13" s="18" t="s">
        <v>206</v>
      </c>
      <c r="B13" s="18" t="s">
        <v>206</v>
      </c>
      <c r="C13" s="18" t="s">
        <v>206</v>
      </c>
      <c r="D13" s="18" t="s">
        <v>206</v>
      </c>
      <c r="E13" s="18" t="s">
        <v>206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2</v>
      </c>
      <c r="C16" s="21" t="s">
        <v>210</v>
      </c>
      <c r="D16" s="21" t="s">
        <v>210</v>
      </c>
      <c r="E16" s="11">
        <v>2</v>
      </c>
    </row>
    <row r="18" spans="1:5">
      <c r="A18" s="22" t="s">
        <v>211</v>
      </c>
      <c r="B18" s="22" t="s">
        <v>211</v>
      </c>
      <c r="C18" s="22" t="s">
        <v>211</v>
      </c>
      <c r="D18" s="22" t="s">
        <v>211</v>
      </c>
      <c r="E18" s="22" t="s">
        <v>211</v>
      </c>
    </row>
    <row r="19" spans="1:5">
      <c r="A19" s="20" t="s">
        <v>212</v>
      </c>
      <c r="B19" s="14"/>
      <c r="C19" s="14"/>
      <c r="D19" s="14" t="s">
        <v>202</v>
      </c>
      <c r="E19" s="14"/>
    </row>
    <row r="20" spans="1:5">
      <c r="A20" s="21" t="s">
        <v>302</v>
      </c>
      <c r="B20" s="21" t="s">
        <v>302</v>
      </c>
      <c r="C20" s="21" t="s">
        <v>302</v>
      </c>
      <c r="D20" s="11" t="s">
        <v>214</v>
      </c>
      <c r="E20" s="11" t="s">
        <v>215</v>
      </c>
    </row>
    <row r="22" spans="1:5">
      <c r="A22" s="22" t="s">
        <v>216</v>
      </c>
      <c r="B22" s="22" t="s">
        <v>216</v>
      </c>
      <c r="C22" s="22" t="s">
        <v>216</v>
      </c>
      <c r="D22" s="22" t="s">
        <v>216</v>
      </c>
      <c r="E22" s="22" t="s">
        <v>216</v>
      </c>
    </row>
    <row r="23" spans="1:5">
      <c r="A23" s="14" t="s">
        <v>202</v>
      </c>
      <c r="B23" s="14" t="s">
        <v>217</v>
      </c>
      <c r="C23" s="14" t="s">
        <v>218</v>
      </c>
      <c r="D23" s="14" t="s">
        <v>219</v>
      </c>
      <c r="E23" s="14"/>
    </row>
    <row r="24" spans="1:5" ht="72.75">
      <c r="A24" s="11" t="s">
        <v>220</v>
      </c>
      <c r="B24" s="11" t="s">
        <v>221</v>
      </c>
      <c r="C24" s="11" t="s">
        <v>303</v>
      </c>
      <c r="D24" s="11" t="s">
        <v>223</v>
      </c>
      <c r="E24" s="11" t="s">
        <v>224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2'!A1" display="13.2.25" xr:uid="{00000000-0004-0000-1A00-000000000000}"/>
    <hyperlink ref="F2" location="'13.2.25E'!A1" display="2" xr:uid="{00000000-0004-0000-1A00-000001000000}"/>
    <hyperlink ref="E10" location="'13.2.25E'!A1" display="'13.2.25E'!A1" xr:uid="{00000000-0004-0000-1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DFF0D8"/>
  </sheetPr>
  <dimension ref="A1:I46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112</v>
      </c>
      <c r="B2" s="6" t="s">
        <v>113</v>
      </c>
      <c r="C2" s="6" t="s">
        <v>14</v>
      </c>
      <c r="D2" s="6" t="s">
        <v>114</v>
      </c>
      <c r="E2" s="6" t="s">
        <v>16</v>
      </c>
      <c r="F2" s="6" t="s">
        <v>304</v>
      </c>
      <c r="G2" s="6">
        <v>0.74</v>
      </c>
      <c r="H2" s="6">
        <v>0.88689000000000007</v>
      </c>
      <c r="I2" s="6">
        <v>198.66336000000001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102</v>
      </c>
      <c r="D8" s="11" t="s">
        <v>206</v>
      </c>
      <c r="E8" s="11">
        <v>102</v>
      </c>
    </row>
    <row r="9" spans="1:9">
      <c r="A9" s="11">
        <v>2</v>
      </c>
      <c r="B9" s="11" t="s">
        <v>205</v>
      </c>
      <c r="C9" s="11">
        <v>122</v>
      </c>
      <c r="D9" s="11" t="s">
        <v>206</v>
      </c>
      <c r="E9" s="11">
        <v>122</v>
      </c>
    </row>
    <row r="10" spans="1:9">
      <c r="A10" s="11" t="s">
        <v>207</v>
      </c>
      <c r="B10" s="11" t="s">
        <v>207</v>
      </c>
      <c r="C10" s="11">
        <f>SUBTOTAL(109,Criteria_Summary13.2.26[Elementos])</f>
        <v>224</v>
      </c>
      <c r="D10" s="11" t="s">
        <v>207</v>
      </c>
      <c r="E10" s="11">
        <f>SUBTOTAL(109,Criteria_Summary13.2.26[Total])</f>
        <v>224</v>
      </c>
    </row>
    <row r="11" spans="1:9">
      <c r="A11" s="12" t="s">
        <v>208</v>
      </c>
      <c r="B11" s="12">
        <v>0</v>
      </c>
      <c r="C11" s="13"/>
      <c r="D11" s="13"/>
      <c r="E11" s="12">
        <v>224</v>
      </c>
    </row>
    <row r="14" spans="1:9">
      <c r="A14" s="18" t="s">
        <v>206</v>
      </c>
      <c r="B14" s="18" t="s">
        <v>206</v>
      </c>
      <c r="C14" s="18" t="s">
        <v>206</v>
      </c>
      <c r="D14" s="18" t="s">
        <v>206</v>
      </c>
      <c r="E14" s="18" t="s">
        <v>206</v>
      </c>
    </row>
    <row r="15" spans="1:9">
      <c r="A15" s="19"/>
      <c r="B15" s="19"/>
      <c r="C15" s="19"/>
      <c r="D15" s="19"/>
      <c r="E15" s="19"/>
    </row>
    <row r="16" spans="1:9">
      <c r="A16" s="14" t="s">
        <v>202</v>
      </c>
      <c r="B16" s="14" t="s">
        <v>203</v>
      </c>
      <c r="C16" s="20" t="s">
        <v>209</v>
      </c>
      <c r="D16" s="20" t="s">
        <v>209</v>
      </c>
      <c r="E16" s="14" t="s">
        <v>9</v>
      </c>
    </row>
    <row r="17" spans="1:5">
      <c r="A17" s="11" t="s">
        <v>205</v>
      </c>
      <c r="B17" s="11">
        <v>102</v>
      </c>
      <c r="C17" s="21" t="s">
        <v>210</v>
      </c>
      <c r="D17" s="21" t="s">
        <v>210</v>
      </c>
      <c r="E17" s="11">
        <v>102</v>
      </c>
    </row>
    <row r="19" spans="1:5">
      <c r="A19" s="22" t="s">
        <v>230</v>
      </c>
      <c r="B19" s="22" t="s">
        <v>230</v>
      </c>
      <c r="C19" s="22" t="s">
        <v>230</v>
      </c>
      <c r="D19" s="22" t="s">
        <v>230</v>
      </c>
      <c r="E19" s="22" t="s">
        <v>230</v>
      </c>
    </row>
    <row r="20" spans="1:5">
      <c r="A20" s="20" t="s">
        <v>231</v>
      </c>
      <c r="B20" s="20" t="s">
        <v>231</v>
      </c>
      <c r="C20" s="20" t="s">
        <v>231</v>
      </c>
      <c r="D20" s="14" t="s">
        <v>232</v>
      </c>
      <c r="E20" s="14"/>
    </row>
    <row r="21" spans="1:5">
      <c r="A21" s="11"/>
      <c r="B21" s="11"/>
      <c r="C21" s="11"/>
      <c r="D21" s="11" t="s">
        <v>233</v>
      </c>
      <c r="E21" s="11" t="s">
        <v>215</v>
      </c>
    </row>
    <row r="23" spans="1:5">
      <c r="A23" s="22" t="s">
        <v>211</v>
      </c>
      <c r="B23" s="22" t="s">
        <v>211</v>
      </c>
      <c r="C23" s="22" t="s">
        <v>211</v>
      </c>
      <c r="D23" s="22" t="s">
        <v>211</v>
      </c>
      <c r="E23" s="22" t="s">
        <v>211</v>
      </c>
    </row>
    <row r="24" spans="1:5">
      <c r="A24" s="20" t="s">
        <v>212</v>
      </c>
      <c r="B24" s="14"/>
      <c r="C24" s="14"/>
      <c r="D24" s="14" t="s">
        <v>202</v>
      </c>
      <c r="E24" s="14"/>
    </row>
    <row r="25" spans="1:5">
      <c r="A25" s="21" t="s">
        <v>305</v>
      </c>
      <c r="B25" s="21" t="s">
        <v>305</v>
      </c>
      <c r="C25" s="21" t="s">
        <v>305</v>
      </c>
      <c r="D25" s="11" t="s">
        <v>214</v>
      </c>
      <c r="E25" s="11" t="s">
        <v>215</v>
      </c>
    </row>
    <row r="27" spans="1:5">
      <c r="A27" s="22" t="s">
        <v>216</v>
      </c>
      <c r="B27" s="22" t="s">
        <v>216</v>
      </c>
      <c r="C27" s="22" t="s">
        <v>216</v>
      </c>
      <c r="D27" s="22" t="s">
        <v>216</v>
      </c>
      <c r="E27" s="22" t="s">
        <v>216</v>
      </c>
    </row>
    <row r="28" spans="1:5">
      <c r="A28" s="14" t="s">
        <v>202</v>
      </c>
      <c r="B28" s="14" t="s">
        <v>217</v>
      </c>
      <c r="C28" s="14" t="s">
        <v>218</v>
      </c>
      <c r="D28" s="14" t="s">
        <v>219</v>
      </c>
      <c r="E28" s="14"/>
    </row>
    <row r="29" spans="1:5" ht="108.75">
      <c r="A29" s="11" t="s">
        <v>220</v>
      </c>
      <c r="B29" s="11" t="s">
        <v>221</v>
      </c>
      <c r="C29" s="11" t="s">
        <v>306</v>
      </c>
      <c r="D29" s="11" t="s">
        <v>223</v>
      </c>
      <c r="E29" s="11" t="s">
        <v>224</v>
      </c>
    </row>
    <row r="31" spans="1:5">
      <c r="A31" s="18" t="s">
        <v>206</v>
      </c>
      <c r="B31" s="18" t="s">
        <v>206</v>
      </c>
      <c r="C31" s="18" t="s">
        <v>206</v>
      </c>
      <c r="D31" s="18" t="s">
        <v>206</v>
      </c>
      <c r="E31" s="18" t="s">
        <v>206</v>
      </c>
    </row>
    <row r="32" spans="1:5">
      <c r="A32" s="19"/>
      <c r="B32" s="19"/>
      <c r="C32" s="19"/>
      <c r="D32" s="19"/>
      <c r="E32" s="19"/>
    </row>
    <row r="33" spans="1:5">
      <c r="A33" s="14" t="s">
        <v>202</v>
      </c>
      <c r="B33" s="14" t="s">
        <v>203</v>
      </c>
      <c r="C33" s="20" t="s">
        <v>209</v>
      </c>
      <c r="D33" s="20" t="s">
        <v>209</v>
      </c>
      <c r="E33" s="14" t="s">
        <v>9</v>
      </c>
    </row>
    <row r="34" spans="1:5">
      <c r="A34" s="11" t="s">
        <v>205</v>
      </c>
      <c r="B34" s="11">
        <v>122</v>
      </c>
      <c r="C34" s="21" t="s">
        <v>210</v>
      </c>
      <c r="D34" s="21" t="s">
        <v>210</v>
      </c>
      <c r="E34" s="11">
        <v>122</v>
      </c>
    </row>
    <row r="36" spans="1:5">
      <c r="A36" s="22" t="s">
        <v>230</v>
      </c>
      <c r="B36" s="22" t="s">
        <v>230</v>
      </c>
      <c r="C36" s="22" t="s">
        <v>230</v>
      </c>
      <c r="D36" s="22" t="s">
        <v>230</v>
      </c>
      <c r="E36" s="22" t="s">
        <v>230</v>
      </c>
    </row>
    <row r="37" spans="1:5">
      <c r="A37" s="20" t="s">
        <v>231</v>
      </c>
      <c r="B37" s="20" t="s">
        <v>231</v>
      </c>
      <c r="C37" s="20" t="s">
        <v>231</v>
      </c>
      <c r="D37" s="14" t="s">
        <v>232</v>
      </c>
      <c r="E37" s="14"/>
    </row>
    <row r="38" spans="1:5">
      <c r="A38" s="11"/>
      <c r="B38" s="11"/>
      <c r="C38" s="11"/>
      <c r="D38" s="11" t="s">
        <v>233</v>
      </c>
      <c r="E38" s="11" t="s">
        <v>215</v>
      </c>
    </row>
    <row r="40" spans="1:5">
      <c r="A40" s="22" t="s">
        <v>211</v>
      </c>
      <c r="B40" s="22" t="s">
        <v>211</v>
      </c>
      <c r="C40" s="22" t="s">
        <v>211</v>
      </c>
      <c r="D40" s="22" t="s">
        <v>211</v>
      </c>
      <c r="E40" s="22" t="s">
        <v>211</v>
      </c>
    </row>
    <row r="41" spans="1:5">
      <c r="A41" s="20" t="s">
        <v>212</v>
      </c>
      <c r="B41" s="14"/>
      <c r="C41" s="14"/>
      <c r="D41" s="14" t="s">
        <v>202</v>
      </c>
      <c r="E41" s="14"/>
    </row>
    <row r="42" spans="1:5">
      <c r="A42" s="21" t="s">
        <v>307</v>
      </c>
      <c r="B42" s="21" t="s">
        <v>307</v>
      </c>
      <c r="C42" s="21" t="s">
        <v>307</v>
      </c>
      <c r="D42" s="11" t="s">
        <v>214</v>
      </c>
      <c r="E42" s="11" t="s">
        <v>215</v>
      </c>
    </row>
    <row r="44" spans="1:5">
      <c r="A44" s="22" t="s">
        <v>216</v>
      </c>
      <c r="B44" s="22" t="s">
        <v>216</v>
      </c>
      <c r="C44" s="22" t="s">
        <v>216</v>
      </c>
      <c r="D44" s="22" t="s">
        <v>216</v>
      </c>
      <c r="E44" s="22" t="s">
        <v>216</v>
      </c>
    </row>
    <row r="45" spans="1:5">
      <c r="A45" s="14" t="s">
        <v>202</v>
      </c>
      <c r="B45" s="14" t="s">
        <v>217</v>
      </c>
      <c r="C45" s="14" t="s">
        <v>218</v>
      </c>
      <c r="D45" s="14" t="s">
        <v>219</v>
      </c>
      <c r="E45" s="14"/>
    </row>
    <row r="46" spans="1:5" ht="108.75">
      <c r="A46" s="11" t="s">
        <v>220</v>
      </c>
      <c r="B46" s="11" t="s">
        <v>221</v>
      </c>
      <c r="C46" s="11" t="s">
        <v>308</v>
      </c>
      <c r="D46" s="11" t="s">
        <v>223</v>
      </c>
      <c r="E46" s="11" t="s">
        <v>224</v>
      </c>
    </row>
  </sheetData>
  <mergeCells count="22">
    <mergeCell ref="A42:C42"/>
    <mergeCell ref="A44:E44"/>
    <mergeCell ref="C34:D34"/>
    <mergeCell ref="A36:E36"/>
    <mergeCell ref="A37:C37"/>
    <mergeCell ref="A40:E40"/>
    <mergeCell ref="A41"/>
    <mergeCell ref="A25:C25"/>
    <mergeCell ref="A27:E27"/>
    <mergeCell ref="A31:E31"/>
    <mergeCell ref="A32:E32"/>
    <mergeCell ref="C33:D33"/>
    <mergeCell ref="C17:D17"/>
    <mergeCell ref="A19:E19"/>
    <mergeCell ref="A20:C20"/>
    <mergeCell ref="A23:E23"/>
    <mergeCell ref="A24"/>
    <mergeCell ref="A5:E5"/>
    <mergeCell ref="A6:E6"/>
    <mergeCell ref="A14:E14"/>
    <mergeCell ref="A15:E15"/>
    <mergeCell ref="C16:D16"/>
  </mergeCells>
  <hyperlinks>
    <hyperlink ref="A2" location="'13.2'!A1" display="13.2.26" xr:uid="{00000000-0004-0000-1B00-000000000000}"/>
    <hyperlink ref="F2" location="'13.2.26E'!A1" display="224" xr:uid="{00000000-0004-0000-1B00-000001000000}"/>
    <hyperlink ref="E11" location="'13.2.26E'!A1" display="'13.2.26E'!A1" xr:uid="{00000000-0004-0000-1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116</v>
      </c>
      <c r="B2" s="6" t="s">
        <v>117</v>
      </c>
      <c r="C2" s="6" t="s">
        <v>14</v>
      </c>
      <c r="D2" s="6" t="s">
        <v>118</v>
      </c>
      <c r="E2" s="6" t="s">
        <v>16</v>
      </c>
      <c r="F2" s="6" t="s">
        <v>200</v>
      </c>
      <c r="G2" s="6">
        <v>3.67</v>
      </c>
      <c r="H2" s="6">
        <v>4.3984950000000005</v>
      </c>
      <c r="I2" s="6">
        <v>26.390970000000003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6</v>
      </c>
      <c r="D8" s="11" t="s">
        <v>206</v>
      </c>
      <c r="E8" s="11">
        <v>6</v>
      </c>
    </row>
    <row r="9" spans="1:9">
      <c r="A9" s="11" t="s">
        <v>207</v>
      </c>
      <c r="B9" s="11" t="s">
        <v>207</v>
      </c>
      <c r="C9" s="11">
        <f>SUBTOTAL(109,Criteria_Summary13.2.27[Elementos])</f>
        <v>6</v>
      </c>
      <c r="D9" s="11" t="s">
        <v>207</v>
      </c>
      <c r="E9" s="11">
        <f>SUBTOTAL(109,Criteria_Summary13.2.27[Total])</f>
        <v>6</v>
      </c>
    </row>
    <row r="10" spans="1:9">
      <c r="A10" s="12" t="s">
        <v>208</v>
      </c>
      <c r="B10" s="12">
        <v>0</v>
      </c>
      <c r="C10" s="13"/>
      <c r="D10" s="13"/>
      <c r="E10" s="12">
        <v>6</v>
      </c>
    </row>
    <row r="13" spans="1:9">
      <c r="A13" s="18" t="s">
        <v>206</v>
      </c>
      <c r="B13" s="18" t="s">
        <v>206</v>
      </c>
      <c r="C13" s="18" t="s">
        <v>206</v>
      </c>
      <c r="D13" s="18" t="s">
        <v>206</v>
      </c>
      <c r="E13" s="18" t="s">
        <v>206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6</v>
      </c>
      <c r="C16" s="21" t="s">
        <v>210</v>
      </c>
      <c r="D16" s="21" t="s">
        <v>210</v>
      </c>
      <c r="E16" s="11">
        <v>6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305</v>
      </c>
      <c r="B24" s="21" t="s">
        <v>305</v>
      </c>
      <c r="C24" s="21" t="s">
        <v>305</v>
      </c>
      <c r="D24" s="11" t="s">
        <v>214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108.75">
      <c r="A28" s="11" t="s">
        <v>220</v>
      </c>
      <c r="B28" s="11" t="s">
        <v>221</v>
      </c>
      <c r="C28" s="11" t="s">
        <v>309</v>
      </c>
      <c r="D28" s="11" t="s">
        <v>223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27" xr:uid="{00000000-0004-0000-1C00-000000000000}"/>
    <hyperlink ref="F2" location="'13.2.27E'!A1" display="6" xr:uid="{00000000-0004-0000-1C00-000001000000}"/>
    <hyperlink ref="E10" location="'13.2.27E'!A1" display="'13.2.27E'!A1" xr:uid="{00000000-0004-0000-1C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12</v>
      </c>
      <c r="B2" s="6" t="s">
        <v>13</v>
      </c>
      <c r="C2" s="6" t="s">
        <v>14</v>
      </c>
      <c r="D2" s="6" t="s">
        <v>15</v>
      </c>
      <c r="E2" s="6" t="s">
        <v>16</v>
      </c>
      <c r="F2" s="6" t="s">
        <v>200</v>
      </c>
      <c r="G2" s="6">
        <v>0.61</v>
      </c>
      <c r="H2" s="6">
        <v>0.7310850000000001</v>
      </c>
      <c r="I2" s="6">
        <v>4.3865100000000004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6</v>
      </c>
      <c r="D8" s="11" t="s">
        <v>206</v>
      </c>
      <c r="E8" s="11">
        <v>6</v>
      </c>
    </row>
    <row r="9" spans="1:9">
      <c r="A9" s="11" t="s">
        <v>207</v>
      </c>
      <c r="B9" s="11" t="s">
        <v>207</v>
      </c>
      <c r="C9" s="11">
        <f>SUBTOTAL(109,Criteria_Summary13.2.1[Elementos])</f>
        <v>6</v>
      </c>
      <c r="D9" s="11" t="s">
        <v>207</v>
      </c>
      <c r="E9" s="11">
        <f>SUBTOTAL(109,Criteria_Summary13.2.1[Total])</f>
        <v>6</v>
      </c>
    </row>
    <row r="10" spans="1:9">
      <c r="A10" s="12" t="s">
        <v>208</v>
      </c>
      <c r="B10" s="12">
        <v>0</v>
      </c>
      <c r="C10" s="13"/>
      <c r="D10" s="13"/>
      <c r="E10" s="12">
        <v>6</v>
      </c>
    </row>
    <row r="13" spans="1:9">
      <c r="A13" s="18" t="s">
        <v>206</v>
      </c>
      <c r="B13" s="18" t="s">
        <v>206</v>
      </c>
      <c r="C13" s="18" t="s">
        <v>206</v>
      </c>
      <c r="D13" s="18" t="s">
        <v>206</v>
      </c>
      <c r="E13" s="18" t="s">
        <v>206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6</v>
      </c>
      <c r="C16" s="21" t="s">
        <v>210</v>
      </c>
      <c r="D16" s="21" t="s">
        <v>210</v>
      </c>
      <c r="E16" s="11">
        <v>6</v>
      </c>
    </row>
    <row r="18" spans="1:5">
      <c r="A18" s="22" t="s">
        <v>211</v>
      </c>
      <c r="B18" s="22" t="s">
        <v>211</v>
      </c>
      <c r="C18" s="22" t="s">
        <v>211</v>
      </c>
      <c r="D18" s="22" t="s">
        <v>211</v>
      </c>
      <c r="E18" s="22" t="s">
        <v>211</v>
      </c>
    </row>
    <row r="19" spans="1:5">
      <c r="A19" s="20" t="s">
        <v>212</v>
      </c>
      <c r="B19" s="14"/>
      <c r="C19" s="14"/>
      <c r="D19" s="14" t="s">
        <v>202</v>
      </c>
      <c r="E19" s="14"/>
    </row>
    <row r="20" spans="1:5">
      <c r="A20" s="21" t="s">
        <v>213</v>
      </c>
      <c r="B20" s="21" t="s">
        <v>213</v>
      </c>
      <c r="C20" s="21" t="s">
        <v>213</v>
      </c>
      <c r="D20" s="11" t="s">
        <v>214</v>
      </c>
      <c r="E20" s="11" t="s">
        <v>215</v>
      </c>
    </row>
    <row r="22" spans="1:5">
      <c r="A22" s="22" t="s">
        <v>216</v>
      </c>
      <c r="B22" s="22" t="s">
        <v>216</v>
      </c>
      <c r="C22" s="22" t="s">
        <v>216</v>
      </c>
      <c r="D22" s="22" t="s">
        <v>216</v>
      </c>
      <c r="E22" s="22" t="s">
        <v>216</v>
      </c>
    </row>
    <row r="23" spans="1:5">
      <c r="A23" s="14" t="s">
        <v>202</v>
      </c>
      <c r="B23" s="14" t="s">
        <v>217</v>
      </c>
      <c r="C23" s="14" t="s">
        <v>218</v>
      </c>
      <c r="D23" s="14" t="s">
        <v>219</v>
      </c>
      <c r="E23" s="14"/>
    </row>
    <row r="24" spans="1:5" ht="60.75">
      <c r="A24" s="11" t="s">
        <v>220</v>
      </c>
      <c r="B24" s="11" t="s">
        <v>221</v>
      </c>
      <c r="C24" s="11" t="s">
        <v>222</v>
      </c>
      <c r="D24" s="11" t="s">
        <v>223</v>
      </c>
      <c r="E24" s="11" t="s">
        <v>224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2'!A1" display="13.2.1" xr:uid="{00000000-0004-0000-0200-000000000000}"/>
    <hyperlink ref="F2" location="'13.2.1E'!A1" display="6" xr:uid="{00000000-0004-0000-0200-000001000000}"/>
    <hyperlink ref="E10" location="'13.2.1E'!A1" display="'13.2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119</v>
      </c>
      <c r="B2" s="6" t="s">
        <v>120</v>
      </c>
      <c r="C2" s="6" t="s">
        <v>14</v>
      </c>
      <c r="D2" s="6" t="s">
        <v>121</v>
      </c>
      <c r="E2" s="6" t="s">
        <v>16</v>
      </c>
      <c r="F2" s="6" t="s">
        <v>229</v>
      </c>
      <c r="G2" s="6">
        <v>12.56</v>
      </c>
      <c r="H2" s="6">
        <v>15.053160000000002</v>
      </c>
      <c r="I2" s="6">
        <v>120.42528000000001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8</v>
      </c>
      <c r="D8" s="11" t="s">
        <v>206</v>
      </c>
      <c r="E8" s="11">
        <v>8</v>
      </c>
    </row>
    <row r="9" spans="1:9">
      <c r="A9" s="11" t="s">
        <v>207</v>
      </c>
      <c r="B9" s="11" t="s">
        <v>207</v>
      </c>
      <c r="C9" s="11">
        <f>SUBTOTAL(109,Criteria_Summary13.2.28[Elementos])</f>
        <v>8</v>
      </c>
      <c r="D9" s="11" t="s">
        <v>207</v>
      </c>
      <c r="E9" s="11">
        <f>SUBTOTAL(109,Criteria_Summary13.2.28[Total])</f>
        <v>8</v>
      </c>
    </row>
    <row r="10" spans="1:9">
      <c r="A10" s="12" t="s">
        <v>208</v>
      </c>
      <c r="B10" s="12">
        <v>0</v>
      </c>
      <c r="C10" s="13"/>
      <c r="D10" s="13"/>
      <c r="E10" s="12">
        <v>8</v>
      </c>
    </row>
    <row r="13" spans="1:9">
      <c r="A13" s="18" t="s">
        <v>206</v>
      </c>
      <c r="B13" s="18" t="s">
        <v>206</v>
      </c>
      <c r="C13" s="18" t="s">
        <v>206</v>
      </c>
      <c r="D13" s="18" t="s">
        <v>206</v>
      </c>
      <c r="E13" s="18" t="s">
        <v>206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8</v>
      </c>
      <c r="C16" s="21" t="s">
        <v>210</v>
      </c>
      <c r="D16" s="21" t="s">
        <v>210</v>
      </c>
      <c r="E16" s="11">
        <v>8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310</v>
      </c>
      <c r="B24" s="21" t="s">
        <v>310</v>
      </c>
      <c r="C24" s="21" t="s">
        <v>310</v>
      </c>
      <c r="D24" s="11" t="s">
        <v>214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84.75">
      <c r="A28" s="11" t="s">
        <v>220</v>
      </c>
      <c r="B28" s="11" t="s">
        <v>221</v>
      </c>
      <c r="C28" s="11" t="s">
        <v>311</v>
      </c>
      <c r="D28" s="11" t="s">
        <v>223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28" xr:uid="{00000000-0004-0000-1D00-000000000000}"/>
    <hyperlink ref="F2" location="'13.2.28E'!A1" display="8" xr:uid="{00000000-0004-0000-1D00-000001000000}"/>
    <hyperlink ref="E10" location="'13.2.28E'!A1" display="'13.2.28E'!A1" xr:uid="{00000000-0004-0000-1D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36.75">
      <c r="A2" s="6" t="s">
        <v>122</v>
      </c>
      <c r="B2" s="6" t="s">
        <v>123</v>
      </c>
      <c r="C2" s="6" t="s">
        <v>14</v>
      </c>
      <c r="D2" s="6" t="s">
        <v>124</v>
      </c>
      <c r="E2" s="6" t="s">
        <v>16</v>
      </c>
      <c r="F2" s="6" t="s">
        <v>312</v>
      </c>
      <c r="G2" s="6">
        <v>1014.26</v>
      </c>
      <c r="H2" s="6">
        <v>1215.5906100000002</v>
      </c>
      <c r="I2" s="6">
        <v>12155.906100000002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10</v>
      </c>
      <c r="D8" s="11" t="s">
        <v>280</v>
      </c>
      <c r="E8" s="11">
        <v>10</v>
      </c>
    </row>
    <row r="9" spans="1:9">
      <c r="A9" s="11" t="s">
        <v>207</v>
      </c>
      <c r="B9" s="11" t="s">
        <v>207</v>
      </c>
      <c r="C9" s="11">
        <f>SUBTOTAL(109,Criteria_Summary13.2.29[Elementos])</f>
        <v>10</v>
      </c>
      <c r="D9" s="11" t="s">
        <v>207</v>
      </c>
      <c r="E9" s="11">
        <f>SUBTOTAL(109,Criteria_Summary13.2.29[Total])</f>
        <v>10</v>
      </c>
    </row>
    <row r="10" spans="1:9">
      <c r="A10" s="12" t="s">
        <v>208</v>
      </c>
      <c r="B10" s="12">
        <v>0</v>
      </c>
      <c r="C10" s="13"/>
      <c r="D10" s="13"/>
      <c r="E10" s="12">
        <v>10</v>
      </c>
    </row>
    <row r="13" spans="1:9">
      <c r="A13" s="18" t="s">
        <v>280</v>
      </c>
      <c r="B13" s="18" t="s">
        <v>280</v>
      </c>
      <c r="C13" s="18" t="s">
        <v>280</v>
      </c>
      <c r="D13" s="18" t="s">
        <v>280</v>
      </c>
      <c r="E13" s="18" t="s">
        <v>280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10</v>
      </c>
      <c r="C16" s="21" t="s">
        <v>281</v>
      </c>
      <c r="D16" s="21" t="s">
        <v>281</v>
      </c>
      <c r="E16" s="11">
        <v>10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313</v>
      </c>
      <c r="B24" s="21" t="s">
        <v>313</v>
      </c>
      <c r="C24" s="21" t="s">
        <v>313</v>
      </c>
      <c r="D24" s="11" t="s">
        <v>314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60.75">
      <c r="A28" s="11" t="s">
        <v>202</v>
      </c>
      <c r="B28" s="11" t="s">
        <v>221</v>
      </c>
      <c r="C28" s="11" t="s">
        <v>315</v>
      </c>
      <c r="D28" s="11" t="s">
        <v>4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29" xr:uid="{00000000-0004-0000-1E00-000000000000}"/>
    <hyperlink ref="F2" location="'13.2.29E'!A1" display="10" xr:uid="{00000000-0004-0000-1E00-000001000000}"/>
    <hyperlink ref="E10" location="'13.2.29E'!A1" display="'13.2.29E'!A1" xr:uid="{00000000-0004-0000-1E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126</v>
      </c>
      <c r="B2" s="6" t="s">
        <v>127</v>
      </c>
      <c r="C2" s="6" t="s">
        <v>14</v>
      </c>
      <c r="D2" s="6" t="s">
        <v>128</v>
      </c>
      <c r="E2" s="6" t="s">
        <v>16</v>
      </c>
      <c r="F2" s="6" t="s">
        <v>316</v>
      </c>
      <c r="G2" s="6">
        <v>29.16</v>
      </c>
      <c r="H2" s="6">
        <v>34.948260000000005</v>
      </c>
      <c r="I2" s="6">
        <v>1747.4130000000002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50</v>
      </c>
      <c r="D8" s="11" t="s">
        <v>206</v>
      </c>
      <c r="E8" s="11">
        <v>50</v>
      </c>
    </row>
    <row r="9" spans="1:9">
      <c r="A9" s="11" t="s">
        <v>207</v>
      </c>
      <c r="B9" s="11" t="s">
        <v>207</v>
      </c>
      <c r="C9" s="11">
        <f>SUBTOTAL(109,Criteria_Summary13.2.30[Elementos])</f>
        <v>50</v>
      </c>
      <c r="D9" s="11" t="s">
        <v>207</v>
      </c>
      <c r="E9" s="11">
        <f>SUBTOTAL(109,Criteria_Summary13.2.30[Total])</f>
        <v>50</v>
      </c>
    </row>
    <row r="10" spans="1:9">
      <c r="A10" s="12" t="s">
        <v>208</v>
      </c>
      <c r="B10" s="12">
        <v>0</v>
      </c>
      <c r="C10" s="13"/>
      <c r="D10" s="13"/>
      <c r="E10" s="12">
        <v>50</v>
      </c>
    </row>
    <row r="13" spans="1:9">
      <c r="A13" s="18" t="s">
        <v>206</v>
      </c>
      <c r="B13" s="18" t="s">
        <v>206</v>
      </c>
      <c r="C13" s="18" t="s">
        <v>206</v>
      </c>
      <c r="D13" s="18" t="s">
        <v>206</v>
      </c>
      <c r="E13" s="18" t="s">
        <v>206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50</v>
      </c>
      <c r="C16" s="21" t="s">
        <v>210</v>
      </c>
      <c r="D16" s="21" t="s">
        <v>210</v>
      </c>
      <c r="E16" s="11">
        <v>50</v>
      </c>
    </row>
    <row r="18" spans="1:5">
      <c r="A18" s="22" t="s">
        <v>216</v>
      </c>
      <c r="B18" s="22" t="s">
        <v>216</v>
      </c>
      <c r="C18" s="22" t="s">
        <v>216</v>
      </c>
      <c r="D18" s="22" t="s">
        <v>216</v>
      </c>
      <c r="E18" s="22" t="s">
        <v>216</v>
      </c>
    </row>
    <row r="19" spans="1:5">
      <c r="A19" s="14" t="s">
        <v>202</v>
      </c>
      <c r="B19" s="14" t="s">
        <v>217</v>
      </c>
      <c r="C19" s="14" t="s">
        <v>218</v>
      </c>
      <c r="D19" s="14" t="s">
        <v>219</v>
      </c>
      <c r="E19" s="14"/>
    </row>
    <row r="20" spans="1:5" ht="60.75">
      <c r="A20" s="11" t="s">
        <v>220</v>
      </c>
      <c r="B20" s="11" t="s">
        <v>221</v>
      </c>
      <c r="C20" s="11" t="s">
        <v>317</v>
      </c>
      <c r="D20" s="11" t="s">
        <v>223</v>
      </c>
      <c r="E20" s="11" t="s">
        <v>224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30" xr:uid="{00000000-0004-0000-1F00-000000000000}"/>
    <hyperlink ref="F2" location="'13.2.30E'!A1" display="50" xr:uid="{00000000-0004-0000-1F00-000001000000}"/>
    <hyperlink ref="E10" location="'13.2.30E'!A1" display="'13.2.30E'!A1" xr:uid="{00000000-0004-0000-1F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130</v>
      </c>
      <c r="B2" s="6" t="s">
        <v>131</v>
      </c>
      <c r="C2" s="6" t="s">
        <v>14</v>
      </c>
      <c r="D2" s="6" t="s">
        <v>132</v>
      </c>
      <c r="E2" s="6" t="s">
        <v>16</v>
      </c>
      <c r="F2" s="6" t="s">
        <v>312</v>
      </c>
      <c r="G2" s="6">
        <v>838.5</v>
      </c>
      <c r="H2" s="6">
        <v>1004.9422500000001</v>
      </c>
      <c r="I2" s="6">
        <v>10049.422500000001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10</v>
      </c>
      <c r="D8" s="11" t="s">
        <v>280</v>
      </c>
      <c r="E8" s="11">
        <v>10</v>
      </c>
    </row>
    <row r="9" spans="1:9">
      <c r="A9" s="11" t="s">
        <v>207</v>
      </c>
      <c r="B9" s="11" t="s">
        <v>207</v>
      </c>
      <c r="C9" s="11">
        <f>SUBTOTAL(109,Criteria_Summary13.2.31[Elementos])</f>
        <v>10</v>
      </c>
      <c r="D9" s="11" t="s">
        <v>207</v>
      </c>
      <c r="E9" s="11">
        <f>SUBTOTAL(109,Criteria_Summary13.2.31[Total])</f>
        <v>10</v>
      </c>
    </row>
    <row r="10" spans="1:9">
      <c r="A10" s="12" t="s">
        <v>208</v>
      </c>
      <c r="B10" s="12">
        <v>0</v>
      </c>
      <c r="C10" s="13"/>
      <c r="D10" s="13"/>
      <c r="E10" s="12">
        <v>10</v>
      </c>
    </row>
    <row r="13" spans="1:9">
      <c r="A13" s="18" t="s">
        <v>280</v>
      </c>
      <c r="B13" s="18" t="s">
        <v>280</v>
      </c>
      <c r="C13" s="18" t="s">
        <v>280</v>
      </c>
      <c r="D13" s="18" t="s">
        <v>280</v>
      </c>
      <c r="E13" s="18" t="s">
        <v>280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10</v>
      </c>
      <c r="C16" s="21" t="s">
        <v>281</v>
      </c>
      <c r="D16" s="21" t="s">
        <v>281</v>
      </c>
      <c r="E16" s="11">
        <v>10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313</v>
      </c>
      <c r="B24" s="21" t="s">
        <v>313</v>
      </c>
      <c r="C24" s="21" t="s">
        <v>313</v>
      </c>
      <c r="D24" s="11" t="s">
        <v>314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60.75">
      <c r="A28" s="11" t="s">
        <v>202</v>
      </c>
      <c r="B28" s="11" t="s">
        <v>221</v>
      </c>
      <c r="C28" s="11" t="s">
        <v>315</v>
      </c>
      <c r="D28" s="11" t="s">
        <v>4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31" xr:uid="{00000000-0004-0000-2000-000000000000}"/>
    <hyperlink ref="F2" location="'13.2.31E'!A1" display="10" xr:uid="{00000000-0004-0000-2000-000001000000}"/>
    <hyperlink ref="E10" location="'13.2.31E'!A1" display="'13.2.31E'!A1" xr:uid="{00000000-0004-0000-20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133</v>
      </c>
      <c r="B2" s="6" t="s">
        <v>134</v>
      </c>
      <c r="C2" s="6" t="s">
        <v>14</v>
      </c>
      <c r="D2" s="6" t="s">
        <v>135</v>
      </c>
      <c r="E2" s="6" t="s">
        <v>16</v>
      </c>
      <c r="F2" s="6" t="s">
        <v>318</v>
      </c>
      <c r="G2" s="6">
        <v>128.4</v>
      </c>
      <c r="H2" s="6">
        <v>153.88740000000001</v>
      </c>
      <c r="I2" s="6">
        <v>1384.9866000000002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9</v>
      </c>
      <c r="D8" s="11" t="s">
        <v>239</v>
      </c>
      <c r="E8" s="11">
        <v>9</v>
      </c>
    </row>
    <row r="9" spans="1:9">
      <c r="A9" s="11" t="s">
        <v>207</v>
      </c>
      <c r="B9" s="11" t="s">
        <v>207</v>
      </c>
      <c r="C9" s="11">
        <f>SUBTOTAL(109,Criteria_Summary13.2.32[Elementos])</f>
        <v>9</v>
      </c>
      <c r="D9" s="11" t="s">
        <v>207</v>
      </c>
      <c r="E9" s="11">
        <f>SUBTOTAL(109,Criteria_Summary13.2.32[Total])</f>
        <v>9</v>
      </c>
    </row>
    <row r="10" spans="1:9">
      <c r="A10" s="12" t="s">
        <v>208</v>
      </c>
      <c r="B10" s="12">
        <v>0</v>
      </c>
      <c r="C10" s="13"/>
      <c r="D10" s="13"/>
      <c r="E10" s="12">
        <v>9</v>
      </c>
    </row>
    <row r="13" spans="1:9">
      <c r="A13" s="18" t="s">
        <v>239</v>
      </c>
      <c r="B13" s="18" t="s">
        <v>239</v>
      </c>
      <c r="C13" s="18" t="s">
        <v>239</v>
      </c>
      <c r="D13" s="18" t="s">
        <v>239</v>
      </c>
      <c r="E13" s="18" t="s">
        <v>239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9</v>
      </c>
      <c r="C16" s="21" t="s">
        <v>240</v>
      </c>
      <c r="D16" s="21" t="s">
        <v>240</v>
      </c>
      <c r="E16" s="11">
        <v>9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319</v>
      </c>
      <c r="B24" s="21" t="s">
        <v>319</v>
      </c>
      <c r="C24" s="21" t="s">
        <v>319</v>
      </c>
      <c r="D24" s="11" t="s">
        <v>320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60.75">
      <c r="A28" s="11" t="s">
        <v>220</v>
      </c>
      <c r="B28" s="11" t="s">
        <v>221</v>
      </c>
      <c r="C28" s="11" t="s">
        <v>321</v>
      </c>
      <c r="D28" s="11" t="s">
        <v>223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32" xr:uid="{00000000-0004-0000-2100-000000000000}"/>
    <hyperlink ref="F2" location="'13.2.32E'!A1" display="9" xr:uid="{00000000-0004-0000-2100-000001000000}"/>
    <hyperlink ref="E10" location="'13.2.32E'!A1" display="'13.2.32E'!A1" xr:uid="{00000000-0004-0000-21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137</v>
      </c>
      <c r="B2" s="6" t="s">
        <v>138</v>
      </c>
      <c r="C2" s="6" t="s">
        <v>14</v>
      </c>
      <c r="D2" s="6" t="s">
        <v>139</v>
      </c>
      <c r="E2" s="6" t="s">
        <v>16</v>
      </c>
      <c r="F2" s="6" t="s">
        <v>200</v>
      </c>
      <c r="G2" s="6">
        <v>2.77</v>
      </c>
      <c r="H2" s="6">
        <v>3.3198450000000004</v>
      </c>
      <c r="I2" s="6">
        <v>19.919070000000001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6</v>
      </c>
      <c r="D8" s="11" t="s">
        <v>269</v>
      </c>
      <c r="E8" s="11">
        <v>6</v>
      </c>
    </row>
    <row r="9" spans="1:9">
      <c r="A9" s="11" t="s">
        <v>207</v>
      </c>
      <c r="B9" s="11" t="s">
        <v>207</v>
      </c>
      <c r="C9" s="11">
        <f>SUBTOTAL(109,Criteria_Summary13.2.33[Elementos])</f>
        <v>6</v>
      </c>
      <c r="D9" s="11" t="s">
        <v>207</v>
      </c>
      <c r="E9" s="11">
        <f>SUBTOTAL(109,Criteria_Summary13.2.33[Total])</f>
        <v>6</v>
      </c>
    </row>
    <row r="10" spans="1:9">
      <c r="A10" s="12" t="s">
        <v>208</v>
      </c>
      <c r="B10" s="12">
        <v>0</v>
      </c>
      <c r="C10" s="13"/>
      <c r="D10" s="13"/>
      <c r="E10" s="12">
        <v>6</v>
      </c>
    </row>
    <row r="13" spans="1:9">
      <c r="A13" s="18" t="s">
        <v>269</v>
      </c>
      <c r="B13" s="18" t="s">
        <v>269</v>
      </c>
      <c r="C13" s="18" t="s">
        <v>269</v>
      </c>
      <c r="D13" s="18" t="s">
        <v>269</v>
      </c>
      <c r="E13" s="18" t="s">
        <v>269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6</v>
      </c>
      <c r="C16" s="21" t="s">
        <v>210</v>
      </c>
      <c r="D16" s="21" t="s">
        <v>210</v>
      </c>
      <c r="E16" s="11">
        <v>6</v>
      </c>
    </row>
    <row r="18" spans="1:5">
      <c r="A18" s="22" t="s">
        <v>216</v>
      </c>
      <c r="B18" s="22" t="s">
        <v>216</v>
      </c>
      <c r="C18" s="22" t="s">
        <v>216</v>
      </c>
      <c r="D18" s="22" t="s">
        <v>216</v>
      </c>
      <c r="E18" s="22" t="s">
        <v>216</v>
      </c>
    </row>
    <row r="19" spans="1:5">
      <c r="A19" s="14" t="s">
        <v>202</v>
      </c>
      <c r="B19" s="14" t="s">
        <v>217</v>
      </c>
      <c r="C19" s="14" t="s">
        <v>218</v>
      </c>
      <c r="D19" s="14" t="s">
        <v>219</v>
      </c>
      <c r="E19" s="14"/>
    </row>
    <row r="20" spans="1:5" ht="60.75">
      <c r="A20" s="11" t="s">
        <v>220</v>
      </c>
      <c r="B20" s="11" t="s">
        <v>221</v>
      </c>
      <c r="C20" s="11" t="s">
        <v>322</v>
      </c>
      <c r="D20" s="11" t="s">
        <v>223</v>
      </c>
      <c r="E20" s="11" t="s">
        <v>224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33" xr:uid="{00000000-0004-0000-2200-000000000000}"/>
    <hyperlink ref="F2" location="'13.2.33E'!A1" display="6" xr:uid="{00000000-0004-0000-2200-000001000000}"/>
    <hyperlink ref="E10" location="'13.2.33E'!A1" display="'13.2.33E'!A1" xr:uid="{00000000-0004-0000-2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FCF8E3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8" t="s">
        <v>140</v>
      </c>
      <c r="B2" s="8" t="s">
        <v>141</v>
      </c>
      <c r="C2" s="8" t="s">
        <v>32</v>
      </c>
      <c r="D2" s="8" t="s">
        <v>142</v>
      </c>
      <c r="E2" s="8" t="s">
        <v>16</v>
      </c>
      <c r="F2" s="8" t="s">
        <v>323</v>
      </c>
      <c r="G2" s="8">
        <v>5.15</v>
      </c>
      <c r="H2" s="8">
        <v>6.1722750000000008</v>
      </c>
      <c r="I2" s="8">
        <v>1499.8628250000002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486</v>
      </c>
      <c r="D8" s="11" t="s">
        <v>324</v>
      </c>
      <c r="E8" s="11">
        <v>486</v>
      </c>
    </row>
    <row r="9" spans="1:9">
      <c r="A9" s="11" t="s">
        <v>207</v>
      </c>
      <c r="B9" s="11" t="s">
        <v>207</v>
      </c>
      <c r="C9" s="11">
        <f>SUBTOTAL(109,Criteria_Summary13.2.34[Elementos])</f>
        <v>486</v>
      </c>
      <c r="D9" s="11" t="s">
        <v>207</v>
      </c>
      <c r="E9" s="11">
        <f>SUBTOTAL(109,Criteria_Summary13.2.34[Total])</f>
        <v>486</v>
      </c>
    </row>
    <row r="10" spans="1:9" ht="30">
      <c r="A10" s="12" t="s">
        <v>263</v>
      </c>
      <c r="B10" s="12">
        <v>2</v>
      </c>
      <c r="C10" s="13"/>
      <c r="D10" s="13"/>
      <c r="E10" s="12">
        <v>243</v>
      </c>
    </row>
    <row r="13" spans="1:9">
      <c r="A13" s="18" t="s">
        <v>324</v>
      </c>
      <c r="B13" s="18" t="s">
        <v>324</v>
      </c>
      <c r="C13" s="18" t="s">
        <v>324</v>
      </c>
      <c r="D13" s="18" t="s">
        <v>324</v>
      </c>
      <c r="E13" s="18" t="s">
        <v>324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486</v>
      </c>
      <c r="C16" s="21" t="s">
        <v>240</v>
      </c>
      <c r="D16" s="21" t="s">
        <v>240</v>
      </c>
      <c r="E16" s="11">
        <v>486</v>
      </c>
    </row>
    <row r="18" spans="1:5">
      <c r="A18" s="22" t="s">
        <v>211</v>
      </c>
      <c r="B18" s="22" t="s">
        <v>211</v>
      </c>
      <c r="C18" s="22" t="s">
        <v>211</v>
      </c>
      <c r="D18" s="22" t="s">
        <v>211</v>
      </c>
      <c r="E18" s="22" t="s">
        <v>211</v>
      </c>
    </row>
    <row r="19" spans="1:5">
      <c r="A19" s="20" t="s">
        <v>212</v>
      </c>
      <c r="B19" s="14"/>
      <c r="C19" s="14"/>
      <c r="D19" s="14" t="s">
        <v>202</v>
      </c>
      <c r="E19" s="14"/>
    </row>
    <row r="20" spans="1:5">
      <c r="A20" s="21" t="s">
        <v>325</v>
      </c>
      <c r="B20" s="21" t="s">
        <v>325</v>
      </c>
      <c r="C20" s="21" t="s">
        <v>325</v>
      </c>
      <c r="D20" s="11" t="s">
        <v>325</v>
      </c>
      <c r="E20" s="11" t="s">
        <v>215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3.2'!A1" display="13.2.34" xr:uid="{00000000-0004-0000-2300-000000000000}"/>
    <hyperlink ref="F2" location="'13.2.34E'!A1" display="243" xr:uid="{00000000-0004-0000-2300-000001000000}"/>
    <hyperlink ref="E10" location="'13.2.34E'!A1" display="'13.2.34E'!A1" xr:uid="{00000000-0004-0000-2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144</v>
      </c>
      <c r="B2" s="6" t="s">
        <v>145</v>
      </c>
      <c r="C2" s="6" t="s">
        <v>14</v>
      </c>
      <c r="D2" s="6" t="s">
        <v>146</v>
      </c>
      <c r="E2" s="6" t="s">
        <v>16</v>
      </c>
      <c r="F2" s="6" t="s">
        <v>326</v>
      </c>
      <c r="G2" s="6">
        <v>9.67</v>
      </c>
      <c r="H2" s="6">
        <v>11.589495000000001</v>
      </c>
      <c r="I2" s="6">
        <v>57.947475000000004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5</v>
      </c>
      <c r="D8" s="11" t="s">
        <v>206</v>
      </c>
      <c r="E8" s="11">
        <v>5</v>
      </c>
    </row>
    <row r="9" spans="1:9">
      <c r="A9" s="11" t="s">
        <v>207</v>
      </c>
      <c r="B9" s="11" t="s">
        <v>207</v>
      </c>
      <c r="C9" s="11">
        <f>SUBTOTAL(109,Criteria_Summary13.2.35[Elementos])</f>
        <v>5</v>
      </c>
      <c r="D9" s="11" t="s">
        <v>207</v>
      </c>
      <c r="E9" s="11">
        <f>SUBTOTAL(109,Criteria_Summary13.2.35[Total])</f>
        <v>5</v>
      </c>
    </row>
    <row r="10" spans="1:9">
      <c r="A10" s="12" t="s">
        <v>208</v>
      </c>
      <c r="B10" s="12">
        <v>0</v>
      </c>
      <c r="C10" s="13"/>
      <c r="D10" s="13"/>
      <c r="E10" s="12">
        <v>5</v>
      </c>
    </row>
    <row r="13" spans="1:9">
      <c r="A13" s="18" t="s">
        <v>206</v>
      </c>
      <c r="B13" s="18" t="s">
        <v>206</v>
      </c>
      <c r="C13" s="18" t="s">
        <v>206</v>
      </c>
      <c r="D13" s="18" t="s">
        <v>206</v>
      </c>
      <c r="E13" s="18" t="s">
        <v>206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5</v>
      </c>
      <c r="C16" s="21" t="s">
        <v>210</v>
      </c>
      <c r="D16" s="21" t="s">
        <v>210</v>
      </c>
      <c r="E16" s="11">
        <v>5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327</v>
      </c>
      <c r="B24" s="21" t="s">
        <v>327</v>
      </c>
      <c r="C24" s="21" t="s">
        <v>327</v>
      </c>
      <c r="D24" s="11" t="s">
        <v>214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60.75">
      <c r="A28" s="11" t="s">
        <v>220</v>
      </c>
      <c r="B28" s="11" t="s">
        <v>221</v>
      </c>
      <c r="C28" s="11" t="s">
        <v>328</v>
      </c>
      <c r="D28" s="11" t="s">
        <v>223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35" xr:uid="{00000000-0004-0000-2400-000000000000}"/>
    <hyperlink ref="F2" location="'13.2.35E'!A1" display="5" xr:uid="{00000000-0004-0000-2400-000001000000}"/>
    <hyperlink ref="E10" location="'13.2.35E'!A1" display="'13.2.35E'!A1" xr:uid="{00000000-0004-0000-2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148</v>
      </c>
      <c r="B2" s="6" t="s">
        <v>149</v>
      </c>
      <c r="C2" s="6" t="s">
        <v>14</v>
      </c>
      <c r="D2" s="6" t="s">
        <v>150</v>
      </c>
      <c r="E2" s="6" t="s">
        <v>16</v>
      </c>
      <c r="F2" s="6" t="s">
        <v>329</v>
      </c>
      <c r="G2" s="6">
        <v>2.4500000000000002</v>
      </c>
      <c r="H2" s="6">
        <v>2.9363250000000005</v>
      </c>
      <c r="I2" s="6">
        <v>719.39962500000013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245</v>
      </c>
      <c r="D8" s="11" t="s">
        <v>269</v>
      </c>
      <c r="E8" s="11">
        <v>245</v>
      </c>
    </row>
    <row r="9" spans="1:9">
      <c r="A9" s="11" t="s">
        <v>207</v>
      </c>
      <c r="B9" s="11" t="s">
        <v>207</v>
      </c>
      <c r="C9" s="11">
        <f>SUBTOTAL(109,Criteria_Summary13.2.36[Elementos])</f>
        <v>245</v>
      </c>
      <c r="D9" s="11" t="s">
        <v>207</v>
      </c>
      <c r="E9" s="11">
        <f>SUBTOTAL(109,Criteria_Summary13.2.36[Total])</f>
        <v>245</v>
      </c>
    </row>
    <row r="10" spans="1:9">
      <c r="A10" s="12" t="s">
        <v>208</v>
      </c>
      <c r="B10" s="12">
        <v>0</v>
      </c>
      <c r="C10" s="13"/>
      <c r="D10" s="13"/>
      <c r="E10" s="12">
        <v>245</v>
      </c>
    </row>
    <row r="13" spans="1:9">
      <c r="A13" s="18" t="s">
        <v>269</v>
      </c>
      <c r="B13" s="18" t="s">
        <v>269</v>
      </c>
      <c r="C13" s="18" t="s">
        <v>269</v>
      </c>
      <c r="D13" s="18" t="s">
        <v>269</v>
      </c>
      <c r="E13" s="18" t="s">
        <v>269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245</v>
      </c>
      <c r="C16" s="21" t="s">
        <v>210</v>
      </c>
      <c r="D16" s="21" t="s">
        <v>210</v>
      </c>
      <c r="E16" s="11">
        <v>245</v>
      </c>
    </row>
    <row r="18" spans="1:5">
      <c r="A18" s="22" t="s">
        <v>216</v>
      </c>
      <c r="B18" s="22" t="s">
        <v>216</v>
      </c>
      <c r="C18" s="22" t="s">
        <v>216</v>
      </c>
      <c r="D18" s="22" t="s">
        <v>216</v>
      </c>
      <c r="E18" s="22" t="s">
        <v>216</v>
      </c>
    </row>
    <row r="19" spans="1:5">
      <c r="A19" s="14" t="s">
        <v>202</v>
      </c>
      <c r="B19" s="14" t="s">
        <v>217</v>
      </c>
      <c r="C19" s="14" t="s">
        <v>218</v>
      </c>
      <c r="D19" s="14" t="s">
        <v>219</v>
      </c>
      <c r="E19" s="14"/>
    </row>
    <row r="20" spans="1:5" ht="60.75">
      <c r="A20" s="11" t="s">
        <v>220</v>
      </c>
      <c r="B20" s="11" t="s">
        <v>221</v>
      </c>
      <c r="C20" s="11" t="s">
        <v>330</v>
      </c>
      <c r="D20" s="11" t="s">
        <v>223</v>
      </c>
      <c r="E20" s="11" t="s">
        <v>224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36" xr:uid="{00000000-0004-0000-2500-000000000000}"/>
    <hyperlink ref="F2" location="'13.2.36E'!A1" display="245" xr:uid="{00000000-0004-0000-2500-000001000000}"/>
    <hyperlink ref="E10" location="'13.2.36E'!A1" display="'13.2.36E'!A1" xr:uid="{00000000-0004-0000-2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152</v>
      </c>
      <c r="B2" s="6" t="s">
        <v>153</v>
      </c>
      <c r="C2" s="6" t="s">
        <v>14</v>
      </c>
      <c r="D2" s="6" t="s">
        <v>154</v>
      </c>
      <c r="E2" s="6" t="s">
        <v>16</v>
      </c>
      <c r="F2" s="6" t="s">
        <v>331</v>
      </c>
      <c r="G2" s="6">
        <v>10.74</v>
      </c>
      <c r="H2" s="6">
        <v>12.871890000000002</v>
      </c>
      <c r="I2" s="6">
        <v>1081.2387600000002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84</v>
      </c>
      <c r="D8" s="11" t="s">
        <v>269</v>
      </c>
      <c r="E8" s="11">
        <v>84</v>
      </c>
    </row>
    <row r="9" spans="1:9">
      <c r="A9" s="11" t="s">
        <v>207</v>
      </c>
      <c r="B9" s="11" t="s">
        <v>207</v>
      </c>
      <c r="C9" s="11">
        <f>SUBTOTAL(109,Criteria_Summary13.2.37[Elementos])</f>
        <v>84</v>
      </c>
      <c r="D9" s="11" t="s">
        <v>207</v>
      </c>
      <c r="E9" s="11">
        <f>SUBTOTAL(109,Criteria_Summary13.2.37[Total])</f>
        <v>84</v>
      </c>
    </row>
    <row r="10" spans="1:9">
      <c r="A10" s="12" t="s">
        <v>208</v>
      </c>
      <c r="B10" s="12">
        <v>0</v>
      </c>
      <c r="C10" s="13"/>
      <c r="D10" s="13"/>
      <c r="E10" s="12">
        <v>84</v>
      </c>
    </row>
    <row r="13" spans="1:9">
      <c r="A13" s="18" t="s">
        <v>269</v>
      </c>
      <c r="B13" s="18" t="s">
        <v>269</v>
      </c>
      <c r="C13" s="18" t="s">
        <v>269</v>
      </c>
      <c r="D13" s="18" t="s">
        <v>269</v>
      </c>
      <c r="E13" s="18" t="s">
        <v>269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84</v>
      </c>
      <c r="C16" s="21" t="s">
        <v>210</v>
      </c>
      <c r="D16" s="21" t="s">
        <v>210</v>
      </c>
      <c r="E16" s="11">
        <v>84</v>
      </c>
    </row>
    <row r="18" spans="1:5">
      <c r="A18" s="22" t="s">
        <v>216</v>
      </c>
      <c r="B18" s="22" t="s">
        <v>216</v>
      </c>
      <c r="C18" s="22" t="s">
        <v>216</v>
      </c>
      <c r="D18" s="22" t="s">
        <v>216</v>
      </c>
      <c r="E18" s="22" t="s">
        <v>216</v>
      </c>
    </row>
    <row r="19" spans="1:5">
      <c r="A19" s="14" t="s">
        <v>202</v>
      </c>
      <c r="B19" s="14" t="s">
        <v>217</v>
      </c>
      <c r="C19" s="14" t="s">
        <v>218</v>
      </c>
      <c r="D19" s="14" t="s">
        <v>219</v>
      </c>
      <c r="E19" s="14"/>
    </row>
    <row r="20" spans="1:5" ht="60.75">
      <c r="A20" s="11" t="s">
        <v>220</v>
      </c>
      <c r="B20" s="11" t="s">
        <v>221</v>
      </c>
      <c r="C20" s="11" t="s">
        <v>332</v>
      </c>
      <c r="D20" s="11" t="s">
        <v>223</v>
      </c>
      <c r="E20" s="11" t="s">
        <v>224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37" xr:uid="{00000000-0004-0000-2600-000000000000}"/>
    <hyperlink ref="F2" location="'13.2.37E'!A1" display="84" xr:uid="{00000000-0004-0000-2600-000001000000}"/>
    <hyperlink ref="E10" location="'13.2.37E'!A1" display="'13.2.37E'!A1" xr:uid="{00000000-0004-0000-2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18</v>
      </c>
      <c r="B2" s="6" t="s">
        <v>19</v>
      </c>
      <c r="C2" s="6" t="s">
        <v>14</v>
      </c>
      <c r="D2" s="6" t="s">
        <v>20</v>
      </c>
      <c r="E2" s="6" t="s">
        <v>16</v>
      </c>
      <c r="F2" s="6" t="s">
        <v>225</v>
      </c>
      <c r="G2" s="6">
        <v>11.53</v>
      </c>
      <c r="H2" s="6">
        <v>13.818705000000001</v>
      </c>
      <c r="I2" s="6">
        <v>386.92374000000007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28</v>
      </c>
      <c r="D8" s="11" t="s">
        <v>206</v>
      </c>
      <c r="E8" s="11">
        <v>28</v>
      </c>
    </row>
    <row r="9" spans="1:9">
      <c r="A9" s="11" t="s">
        <v>207</v>
      </c>
      <c r="B9" s="11" t="s">
        <v>207</v>
      </c>
      <c r="C9" s="11">
        <f>SUBTOTAL(109,Criteria_Summary13.2.2[Elementos])</f>
        <v>28</v>
      </c>
      <c r="D9" s="11" t="s">
        <v>207</v>
      </c>
      <c r="E9" s="11">
        <f>SUBTOTAL(109,Criteria_Summary13.2.2[Total])</f>
        <v>28</v>
      </c>
    </row>
    <row r="10" spans="1:9">
      <c r="A10" s="12" t="s">
        <v>208</v>
      </c>
      <c r="B10" s="12">
        <v>0</v>
      </c>
      <c r="C10" s="13"/>
      <c r="D10" s="13"/>
      <c r="E10" s="12">
        <v>28</v>
      </c>
    </row>
    <row r="13" spans="1:9">
      <c r="A13" s="18" t="s">
        <v>206</v>
      </c>
      <c r="B13" s="18" t="s">
        <v>206</v>
      </c>
      <c r="C13" s="18" t="s">
        <v>206</v>
      </c>
      <c r="D13" s="18" t="s">
        <v>206</v>
      </c>
      <c r="E13" s="18" t="s">
        <v>206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28</v>
      </c>
      <c r="C16" s="21" t="s">
        <v>210</v>
      </c>
      <c r="D16" s="21" t="s">
        <v>210</v>
      </c>
      <c r="E16" s="11">
        <v>28</v>
      </c>
    </row>
    <row r="18" spans="1:5">
      <c r="A18" s="22" t="s">
        <v>211</v>
      </c>
      <c r="B18" s="22" t="s">
        <v>211</v>
      </c>
      <c r="C18" s="22" t="s">
        <v>211</v>
      </c>
      <c r="D18" s="22" t="s">
        <v>211</v>
      </c>
      <c r="E18" s="22" t="s">
        <v>211</v>
      </c>
    </row>
    <row r="19" spans="1:5">
      <c r="A19" s="20" t="s">
        <v>212</v>
      </c>
      <c r="B19" s="14"/>
      <c r="C19" s="14"/>
      <c r="D19" s="14" t="s">
        <v>202</v>
      </c>
      <c r="E19" s="14"/>
    </row>
    <row r="20" spans="1:5">
      <c r="A20" s="21" t="s">
        <v>213</v>
      </c>
      <c r="B20" s="21" t="s">
        <v>213</v>
      </c>
      <c r="C20" s="21" t="s">
        <v>213</v>
      </c>
      <c r="D20" s="11" t="s">
        <v>214</v>
      </c>
      <c r="E20" s="11" t="s">
        <v>215</v>
      </c>
    </row>
    <row r="22" spans="1:5">
      <c r="A22" s="22" t="s">
        <v>216</v>
      </c>
      <c r="B22" s="22" t="s">
        <v>216</v>
      </c>
      <c r="C22" s="22" t="s">
        <v>216</v>
      </c>
      <c r="D22" s="22" t="s">
        <v>216</v>
      </c>
      <c r="E22" s="22" t="s">
        <v>216</v>
      </c>
    </row>
    <row r="23" spans="1:5">
      <c r="A23" s="14" t="s">
        <v>202</v>
      </c>
      <c r="B23" s="14" t="s">
        <v>217</v>
      </c>
      <c r="C23" s="14" t="s">
        <v>218</v>
      </c>
      <c r="D23" s="14" t="s">
        <v>219</v>
      </c>
      <c r="E23" s="14"/>
    </row>
    <row r="24" spans="1:5" ht="60.75">
      <c r="A24" s="11" t="s">
        <v>220</v>
      </c>
      <c r="B24" s="11" t="s">
        <v>221</v>
      </c>
      <c r="C24" s="11" t="s">
        <v>226</v>
      </c>
      <c r="D24" s="11" t="s">
        <v>223</v>
      </c>
      <c r="E24" s="11" t="s">
        <v>224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2'!A1" display="13.2.2" xr:uid="{00000000-0004-0000-0300-000000000000}"/>
    <hyperlink ref="F2" location="'13.2.2E'!A1" display="28" xr:uid="{00000000-0004-0000-0300-000001000000}"/>
    <hyperlink ref="E10" location="'13.2.2E'!A1" display="'13.2.2E'!A1" xr:uid="{00000000-0004-0000-0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156</v>
      </c>
      <c r="B2" s="6" t="s">
        <v>157</v>
      </c>
      <c r="C2" s="6" t="s">
        <v>14</v>
      </c>
      <c r="D2" s="6" t="s">
        <v>158</v>
      </c>
      <c r="E2" s="6" t="s">
        <v>16</v>
      </c>
      <c r="F2" s="6" t="s">
        <v>333</v>
      </c>
      <c r="G2" s="6">
        <v>1.45</v>
      </c>
      <c r="H2" s="6">
        <v>1.7378250000000002</v>
      </c>
      <c r="I2" s="6">
        <v>39.969975000000005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23</v>
      </c>
      <c r="D8" s="11" t="s">
        <v>269</v>
      </c>
      <c r="E8" s="11">
        <v>23</v>
      </c>
    </row>
    <row r="9" spans="1:9">
      <c r="A9" s="11" t="s">
        <v>207</v>
      </c>
      <c r="B9" s="11" t="s">
        <v>207</v>
      </c>
      <c r="C9" s="11">
        <f>SUBTOTAL(109,Criteria_Summary13.2.38[Elementos])</f>
        <v>23</v>
      </c>
      <c r="D9" s="11" t="s">
        <v>207</v>
      </c>
      <c r="E9" s="11">
        <f>SUBTOTAL(109,Criteria_Summary13.2.38[Total])</f>
        <v>23</v>
      </c>
    </row>
    <row r="10" spans="1:9">
      <c r="A10" s="12" t="s">
        <v>208</v>
      </c>
      <c r="B10" s="12">
        <v>0</v>
      </c>
      <c r="C10" s="13"/>
      <c r="D10" s="13"/>
      <c r="E10" s="12">
        <v>23</v>
      </c>
    </row>
    <row r="13" spans="1:9">
      <c r="A13" s="18" t="s">
        <v>269</v>
      </c>
      <c r="B13" s="18" t="s">
        <v>269</v>
      </c>
      <c r="C13" s="18" t="s">
        <v>269</v>
      </c>
      <c r="D13" s="18" t="s">
        <v>269</v>
      </c>
      <c r="E13" s="18" t="s">
        <v>269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23</v>
      </c>
      <c r="C16" s="21" t="s">
        <v>210</v>
      </c>
      <c r="D16" s="21" t="s">
        <v>210</v>
      </c>
      <c r="E16" s="11">
        <v>23</v>
      </c>
    </row>
    <row r="18" spans="1:5">
      <c r="A18" s="22" t="s">
        <v>216</v>
      </c>
      <c r="B18" s="22" t="s">
        <v>216</v>
      </c>
      <c r="C18" s="22" t="s">
        <v>216</v>
      </c>
      <c r="D18" s="22" t="s">
        <v>216</v>
      </c>
      <c r="E18" s="22" t="s">
        <v>216</v>
      </c>
    </row>
    <row r="19" spans="1:5">
      <c r="A19" s="14" t="s">
        <v>202</v>
      </c>
      <c r="B19" s="14" t="s">
        <v>217</v>
      </c>
      <c r="C19" s="14" t="s">
        <v>218</v>
      </c>
      <c r="D19" s="14" t="s">
        <v>219</v>
      </c>
      <c r="E19" s="14"/>
    </row>
    <row r="20" spans="1:5" ht="60.75">
      <c r="A20" s="11" t="s">
        <v>220</v>
      </c>
      <c r="B20" s="11" t="s">
        <v>221</v>
      </c>
      <c r="C20" s="11" t="s">
        <v>334</v>
      </c>
      <c r="D20" s="11" t="s">
        <v>223</v>
      </c>
      <c r="E20" s="11" t="s">
        <v>224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38" xr:uid="{00000000-0004-0000-2700-000000000000}"/>
    <hyperlink ref="F2" location="'13.2.38E'!A1" display="23" xr:uid="{00000000-0004-0000-2700-000001000000}"/>
    <hyperlink ref="E10" location="'13.2.38E'!A1" display="'13.2.38E'!A1" xr:uid="{00000000-0004-0000-2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160</v>
      </c>
      <c r="B2" s="6" t="s">
        <v>161</v>
      </c>
      <c r="C2" s="6" t="s">
        <v>14</v>
      </c>
      <c r="D2" s="6" t="s">
        <v>162</v>
      </c>
      <c r="E2" s="6" t="s">
        <v>16</v>
      </c>
      <c r="F2" s="6" t="s">
        <v>247</v>
      </c>
      <c r="G2" s="6">
        <v>0.61</v>
      </c>
      <c r="H2" s="6">
        <v>0.7310850000000001</v>
      </c>
      <c r="I2" s="6">
        <v>42.402930000000005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58</v>
      </c>
      <c r="D8" s="11" t="s">
        <v>269</v>
      </c>
      <c r="E8" s="11">
        <v>58</v>
      </c>
    </row>
    <row r="9" spans="1:9">
      <c r="A9" s="11" t="s">
        <v>207</v>
      </c>
      <c r="B9" s="11" t="s">
        <v>207</v>
      </c>
      <c r="C9" s="11">
        <f>SUBTOTAL(109,Criteria_Summary13.2.39[Elementos])</f>
        <v>58</v>
      </c>
      <c r="D9" s="11" t="s">
        <v>207</v>
      </c>
      <c r="E9" s="11">
        <f>SUBTOTAL(109,Criteria_Summary13.2.39[Total])</f>
        <v>58</v>
      </c>
    </row>
    <row r="10" spans="1:9">
      <c r="A10" s="12" t="s">
        <v>208</v>
      </c>
      <c r="B10" s="12">
        <v>0</v>
      </c>
      <c r="C10" s="13"/>
      <c r="D10" s="13"/>
      <c r="E10" s="12">
        <v>58</v>
      </c>
    </row>
    <row r="13" spans="1:9">
      <c r="A13" s="18" t="s">
        <v>269</v>
      </c>
      <c r="B13" s="18" t="s">
        <v>269</v>
      </c>
      <c r="C13" s="18" t="s">
        <v>269</v>
      </c>
      <c r="D13" s="18" t="s">
        <v>269</v>
      </c>
      <c r="E13" s="18" t="s">
        <v>269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58</v>
      </c>
      <c r="C16" s="21" t="s">
        <v>210</v>
      </c>
      <c r="D16" s="21" t="s">
        <v>210</v>
      </c>
      <c r="E16" s="11">
        <v>58</v>
      </c>
    </row>
    <row r="18" spans="1:5">
      <c r="A18" s="22" t="s">
        <v>216</v>
      </c>
      <c r="B18" s="22" t="s">
        <v>216</v>
      </c>
      <c r="C18" s="22" t="s">
        <v>216</v>
      </c>
      <c r="D18" s="22" t="s">
        <v>216</v>
      </c>
      <c r="E18" s="22" t="s">
        <v>216</v>
      </c>
    </row>
    <row r="19" spans="1:5">
      <c r="A19" s="14" t="s">
        <v>202</v>
      </c>
      <c r="B19" s="14" t="s">
        <v>217</v>
      </c>
      <c r="C19" s="14" t="s">
        <v>218</v>
      </c>
      <c r="D19" s="14" t="s">
        <v>219</v>
      </c>
      <c r="E19" s="14"/>
    </row>
    <row r="20" spans="1:5" ht="60.75">
      <c r="A20" s="11" t="s">
        <v>220</v>
      </c>
      <c r="B20" s="11" t="s">
        <v>221</v>
      </c>
      <c r="C20" s="11" t="s">
        <v>335</v>
      </c>
      <c r="D20" s="11" t="s">
        <v>223</v>
      </c>
      <c r="E20" s="11" t="s">
        <v>224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39" xr:uid="{00000000-0004-0000-2800-000000000000}"/>
    <hyperlink ref="F2" location="'13.2.39E'!A1" display="58" xr:uid="{00000000-0004-0000-2800-000001000000}"/>
    <hyperlink ref="E10" location="'13.2.39E'!A1" display="'13.2.39E'!A1" xr:uid="{00000000-0004-0000-2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163</v>
      </c>
      <c r="B2" s="6" t="s">
        <v>164</v>
      </c>
      <c r="C2" s="6" t="s">
        <v>36</v>
      </c>
      <c r="D2" s="6" t="s">
        <v>165</v>
      </c>
      <c r="E2" s="6" t="s">
        <v>16</v>
      </c>
      <c r="F2" s="6" t="s">
        <v>244</v>
      </c>
      <c r="G2" s="6">
        <v>60.03</v>
      </c>
      <c r="H2" s="6">
        <v>71.945955000000012</v>
      </c>
      <c r="I2" s="6">
        <v>71.945955000000012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1</v>
      </c>
      <c r="D8" s="11" t="s">
        <v>239</v>
      </c>
      <c r="E8" s="11">
        <v>1</v>
      </c>
    </row>
    <row r="9" spans="1:9">
      <c r="A9" s="11" t="s">
        <v>207</v>
      </c>
      <c r="B9" s="11" t="s">
        <v>207</v>
      </c>
      <c r="C9" s="11">
        <f>SUBTOTAL(109,Criteria_Summary13.2.40[Elementos])</f>
        <v>1</v>
      </c>
      <c r="D9" s="11" t="s">
        <v>207</v>
      </c>
      <c r="E9" s="11">
        <f>SUBTOTAL(109,Criteria_Summary13.2.40[Total])</f>
        <v>1</v>
      </c>
    </row>
    <row r="10" spans="1:9">
      <c r="A10" s="12" t="s">
        <v>208</v>
      </c>
      <c r="B10" s="12">
        <v>0</v>
      </c>
      <c r="C10" s="13"/>
      <c r="D10" s="13"/>
      <c r="E10" s="12">
        <v>1</v>
      </c>
    </row>
    <row r="13" spans="1:9">
      <c r="A13" s="18" t="s">
        <v>239</v>
      </c>
      <c r="B13" s="18" t="s">
        <v>239</v>
      </c>
      <c r="C13" s="18" t="s">
        <v>239</v>
      </c>
      <c r="D13" s="18" t="s">
        <v>239</v>
      </c>
      <c r="E13" s="18" t="s">
        <v>239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1</v>
      </c>
      <c r="C16" s="21" t="s">
        <v>240</v>
      </c>
      <c r="D16" s="21" t="s">
        <v>240</v>
      </c>
      <c r="E16" s="11">
        <v>1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336</v>
      </c>
      <c r="B24" s="21" t="s">
        <v>336</v>
      </c>
      <c r="C24" s="21" t="s">
        <v>336</v>
      </c>
      <c r="D24" s="11" t="s">
        <v>255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48.75">
      <c r="A28" s="11" t="s">
        <v>202</v>
      </c>
      <c r="B28" s="11" t="s">
        <v>221</v>
      </c>
      <c r="C28" s="11" t="s">
        <v>337</v>
      </c>
      <c r="D28" s="11" t="s">
        <v>4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40" xr:uid="{00000000-0004-0000-2900-000000000000}"/>
    <hyperlink ref="F2" location="'13.2.40E'!A1" display="1" xr:uid="{00000000-0004-0000-2900-000001000000}"/>
    <hyperlink ref="E10" location="'13.2.40E'!A1" display="'13.2.40E'!A1" xr:uid="{00000000-0004-0000-2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166</v>
      </c>
      <c r="B2" s="6" t="s">
        <v>167</v>
      </c>
      <c r="C2" s="6" t="s">
        <v>14</v>
      </c>
      <c r="D2" s="6" t="s">
        <v>168</v>
      </c>
      <c r="E2" s="6" t="s">
        <v>16</v>
      </c>
      <c r="F2" s="6" t="s">
        <v>225</v>
      </c>
      <c r="G2" s="6">
        <v>4.2300000000000004</v>
      </c>
      <c r="H2" s="6">
        <v>5.0696550000000009</v>
      </c>
      <c r="I2" s="6">
        <v>141.95034000000004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28</v>
      </c>
      <c r="D8" s="11" t="s">
        <v>269</v>
      </c>
      <c r="E8" s="11">
        <v>28</v>
      </c>
    </row>
    <row r="9" spans="1:9">
      <c r="A9" s="11" t="s">
        <v>207</v>
      </c>
      <c r="B9" s="11" t="s">
        <v>207</v>
      </c>
      <c r="C9" s="11">
        <f>SUBTOTAL(109,Criteria_Summary13.2.41[Elementos])</f>
        <v>28</v>
      </c>
      <c r="D9" s="11" t="s">
        <v>207</v>
      </c>
      <c r="E9" s="11">
        <f>SUBTOTAL(109,Criteria_Summary13.2.41[Total])</f>
        <v>28</v>
      </c>
    </row>
    <row r="10" spans="1:9">
      <c r="A10" s="12" t="s">
        <v>208</v>
      </c>
      <c r="B10" s="12">
        <v>0</v>
      </c>
      <c r="C10" s="13"/>
      <c r="D10" s="13"/>
      <c r="E10" s="12">
        <v>28</v>
      </c>
    </row>
    <row r="13" spans="1:9">
      <c r="A13" s="18" t="s">
        <v>269</v>
      </c>
      <c r="B13" s="18" t="s">
        <v>269</v>
      </c>
      <c r="C13" s="18" t="s">
        <v>269</v>
      </c>
      <c r="D13" s="18" t="s">
        <v>269</v>
      </c>
      <c r="E13" s="18" t="s">
        <v>269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28</v>
      </c>
      <c r="C16" s="21" t="s">
        <v>210</v>
      </c>
      <c r="D16" s="21" t="s">
        <v>210</v>
      </c>
      <c r="E16" s="11">
        <v>28</v>
      </c>
    </row>
    <row r="18" spans="1:5">
      <c r="A18" s="22" t="s">
        <v>216</v>
      </c>
      <c r="B18" s="22" t="s">
        <v>216</v>
      </c>
      <c r="C18" s="22" t="s">
        <v>216</v>
      </c>
      <c r="D18" s="22" t="s">
        <v>216</v>
      </c>
      <c r="E18" s="22" t="s">
        <v>216</v>
      </c>
    </row>
    <row r="19" spans="1:5">
      <c r="A19" s="14" t="s">
        <v>202</v>
      </c>
      <c r="B19" s="14" t="s">
        <v>217</v>
      </c>
      <c r="C19" s="14" t="s">
        <v>218</v>
      </c>
      <c r="D19" s="14" t="s">
        <v>219</v>
      </c>
      <c r="E19" s="14"/>
    </row>
    <row r="20" spans="1:5" ht="60.75">
      <c r="A20" s="11" t="s">
        <v>220</v>
      </c>
      <c r="B20" s="11" t="s">
        <v>221</v>
      </c>
      <c r="C20" s="11" t="s">
        <v>338</v>
      </c>
      <c r="D20" s="11" t="s">
        <v>223</v>
      </c>
      <c r="E20" s="11" t="s">
        <v>224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41" xr:uid="{00000000-0004-0000-2A00-000000000000}"/>
    <hyperlink ref="F2" location="'13.2.41E'!A1" display="28" xr:uid="{00000000-0004-0000-2A00-000001000000}"/>
    <hyperlink ref="E10" location="'13.2.41E'!A1" display="'13.2.41E'!A1" xr:uid="{00000000-0004-0000-2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169</v>
      </c>
      <c r="B2" s="6" t="s">
        <v>170</v>
      </c>
      <c r="C2" s="6" t="s">
        <v>14</v>
      </c>
      <c r="D2" s="6" t="s">
        <v>171</v>
      </c>
      <c r="E2" s="6" t="s">
        <v>16</v>
      </c>
      <c r="F2" s="6" t="s">
        <v>257</v>
      </c>
      <c r="G2" s="6">
        <v>20.8</v>
      </c>
      <c r="H2" s="6">
        <v>24.928800000000003</v>
      </c>
      <c r="I2" s="6">
        <v>722.93520000000012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29</v>
      </c>
      <c r="D8" s="11" t="s">
        <v>269</v>
      </c>
      <c r="E8" s="11">
        <v>29</v>
      </c>
    </row>
    <row r="9" spans="1:9">
      <c r="A9" s="11" t="s">
        <v>207</v>
      </c>
      <c r="B9" s="11" t="s">
        <v>207</v>
      </c>
      <c r="C9" s="11">
        <f>SUBTOTAL(109,Criteria_Summary13.2.42[Elementos])</f>
        <v>29</v>
      </c>
      <c r="D9" s="11" t="s">
        <v>207</v>
      </c>
      <c r="E9" s="11">
        <f>SUBTOTAL(109,Criteria_Summary13.2.42[Total])</f>
        <v>29</v>
      </c>
    </row>
    <row r="10" spans="1:9">
      <c r="A10" s="12" t="s">
        <v>208</v>
      </c>
      <c r="B10" s="12">
        <v>0</v>
      </c>
      <c r="C10" s="13"/>
      <c r="D10" s="13"/>
      <c r="E10" s="12">
        <v>29</v>
      </c>
    </row>
    <row r="13" spans="1:9">
      <c r="A13" s="18" t="s">
        <v>269</v>
      </c>
      <c r="B13" s="18" t="s">
        <v>269</v>
      </c>
      <c r="C13" s="18" t="s">
        <v>269</v>
      </c>
      <c r="D13" s="18" t="s">
        <v>269</v>
      </c>
      <c r="E13" s="18" t="s">
        <v>269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29</v>
      </c>
      <c r="C16" s="21" t="s">
        <v>210</v>
      </c>
      <c r="D16" s="21" t="s">
        <v>210</v>
      </c>
      <c r="E16" s="11">
        <v>29</v>
      </c>
    </row>
    <row r="18" spans="1:5">
      <c r="A18" s="22" t="s">
        <v>216</v>
      </c>
      <c r="B18" s="22" t="s">
        <v>216</v>
      </c>
      <c r="C18" s="22" t="s">
        <v>216</v>
      </c>
      <c r="D18" s="22" t="s">
        <v>216</v>
      </c>
      <c r="E18" s="22" t="s">
        <v>216</v>
      </c>
    </row>
    <row r="19" spans="1:5">
      <c r="A19" s="14" t="s">
        <v>202</v>
      </c>
      <c r="B19" s="14" t="s">
        <v>217</v>
      </c>
      <c r="C19" s="14" t="s">
        <v>218</v>
      </c>
      <c r="D19" s="14" t="s">
        <v>219</v>
      </c>
      <c r="E19" s="14"/>
    </row>
    <row r="20" spans="1:5" ht="60.75">
      <c r="A20" s="11" t="s">
        <v>220</v>
      </c>
      <c r="B20" s="11" t="s">
        <v>221</v>
      </c>
      <c r="C20" s="11" t="s">
        <v>339</v>
      </c>
      <c r="D20" s="11" t="s">
        <v>223</v>
      </c>
      <c r="E20" s="11" t="s">
        <v>224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42" xr:uid="{00000000-0004-0000-2B00-000000000000}"/>
    <hyperlink ref="F2" location="'13.2.42E'!A1" display="29" xr:uid="{00000000-0004-0000-2B00-000001000000}"/>
    <hyperlink ref="E10" location="'13.2.42E'!A1" display="'13.2.42E'!A1" xr:uid="{00000000-0004-0000-2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172</v>
      </c>
      <c r="B2" s="6" t="s">
        <v>173</v>
      </c>
      <c r="C2" s="6" t="s">
        <v>14</v>
      </c>
      <c r="D2" s="6" t="s">
        <v>174</v>
      </c>
      <c r="E2" s="6" t="s">
        <v>16</v>
      </c>
      <c r="F2" s="6" t="s">
        <v>340</v>
      </c>
      <c r="G2" s="6">
        <v>6.77</v>
      </c>
      <c r="H2" s="6">
        <v>8.1138449999999995</v>
      </c>
      <c r="I2" s="6">
        <v>559.85530499999993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69</v>
      </c>
      <c r="D8" s="11" t="s">
        <v>206</v>
      </c>
      <c r="E8" s="11">
        <v>69</v>
      </c>
    </row>
    <row r="9" spans="1:9">
      <c r="A9" s="11" t="s">
        <v>207</v>
      </c>
      <c r="B9" s="11" t="s">
        <v>207</v>
      </c>
      <c r="C9" s="11">
        <f>SUBTOTAL(109,Criteria_Summary13.2.43[Elementos])</f>
        <v>69</v>
      </c>
      <c r="D9" s="11" t="s">
        <v>207</v>
      </c>
      <c r="E9" s="11">
        <f>SUBTOTAL(109,Criteria_Summary13.2.43[Total])</f>
        <v>69</v>
      </c>
    </row>
    <row r="10" spans="1:9">
      <c r="A10" s="12" t="s">
        <v>208</v>
      </c>
      <c r="B10" s="12">
        <v>0</v>
      </c>
      <c r="C10" s="13"/>
      <c r="D10" s="13"/>
      <c r="E10" s="12">
        <v>69</v>
      </c>
    </row>
    <row r="13" spans="1:9">
      <c r="A13" s="18" t="s">
        <v>206</v>
      </c>
      <c r="B13" s="18" t="s">
        <v>206</v>
      </c>
      <c r="C13" s="18" t="s">
        <v>206</v>
      </c>
      <c r="D13" s="18" t="s">
        <v>206</v>
      </c>
      <c r="E13" s="18" t="s">
        <v>206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69</v>
      </c>
      <c r="C16" s="21" t="s">
        <v>210</v>
      </c>
      <c r="D16" s="21" t="s">
        <v>210</v>
      </c>
      <c r="E16" s="11">
        <v>69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341</v>
      </c>
      <c r="B24" s="21" t="s">
        <v>341</v>
      </c>
      <c r="C24" s="21" t="s">
        <v>341</v>
      </c>
      <c r="D24" s="11" t="s">
        <v>214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84.75">
      <c r="A28" s="11" t="s">
        <v>220</v>
      </c>
      <c r="B28" s="11" t="s">
        <v>221</v>
      </c>
      <c r="C28" s="11" t="s">
        <v>342</v>
      </c>
      <c r="D28" s="11" t="s">
        <v>223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43" xr:uid="{00000000-0004-0000-2C00-000000000000}"/>
    <hyperlink ref="F2" location="'13.2.43E'!A1" display="69" xr:uid="{00000000-0004-0000-2C00-000001000000}"/>
    <hyperlink ref="E10" location="'13.2.43E'!A1" display="'13.2.43E'!A1" xr:uid="{00000000-0004-0000-2C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176</v>
      </c>
      <c r="B2" s="6" t="s">
        <v>177</v>
      </c>
      <c r="C2" s="6" t="s">
        <v>14</v>
      </c>
      <c r="D2" s="6" t="s">
        <v>178</v>
      </c>
      <c r="E2" s="6" t="s">
        <v>16</v>
      </c>
      <c r="F2" s="6" t="s">
        <v>343</v>
      </c>
      <c r="G2" s="6">
        <v>24.3</v>
      </c>
      <c r="H2" s="6">
        <v>29.123550000000005</v>
      </c>
      <c r="I2" s="6">
        <v>582.47100000000012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20</v>
      </c>
      <c r="D8" s="11" t="s">
        <v>206</v>
      </c>
      <c r="E8" s="11">
        <v>20</v>
      </c>
    </row>
    <row r="9" spans="1:9">
      <c r="A9" s="11" t="s">
        <v>207</v>
      </c>
      <c r="B9" s="11" t="s">
        <v>207</v>
      </c>
      <c r="C9" s="11">
        <f>SUBTOTAL(109,Criteria_Summary13.2.44[Elementos])</f>
        <v>20</v>
      </c>
      <c r="D9" s="11" t="s">
        <v>207</v>
      </c>
      <c r="E9" s="11">
        <f>SUBTOTAL(109,Criteria_Summary13.2.44[Total])</f>
        <v>20</v>
      </c>
    </row>
    <row r="10" spans="1:9">
      <c r="A10" s="12" t="s">
        <v>208</v>
      </c>
      <c r="B10" s="12">
        <v>0</v>
      </c>
      <c r="C10" s="13"/>
      <c r="D10" s="13"/>
      <c r="E10" s="12">
        <v>20</v>
      </c>
    </row>
    <row r="13" spans="1:9">
      <c r="A13" s="18" t="s">
        <v>206</v>
      </c>
      <c r="B13" s="18" t="s">
        <v>206</v>
      </c>
      <c r="C13" s="18" t="s">
        <v>206</v>
      </c>
      <c r="D13" s="18" t="s">
        <v>206</v>
      </c>
      <c r="E13" s="18" t="s">
        <v>206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20</v>
      </c>
      <c r="C16" s="21" t="s">
        <v>210</v>
      </c>
      <c r="D16" s="21" t="s">
        <v>210</v>
      </c>
      <c r="E16" s="11">
        <v>20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344</v>
      </c>
      <c r="B24" s="21" t="s">
        <v>344</v>
      </c>
      <c r="C24" s="21" t="s">
        <v>344</v>
      </c>
      <c r="D24" s="11" t="s">
        <v>214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60.75">
      <c r="A28" s="11" t="s">
        <v>220</v>
      </c>
      <c r="B28" s="11" t="s">
        <v>221</v>
      </c>
      <c r="C28" s="11" t="s">
        <v>345</v>
      </c>
      <c r="D28" s="11" t="s">
        <v>223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44" xr:uid="{00000000-0004-0000-2D00-000000000000}"/>
    <hyperlink ref="F2" location="'13.2.44E'!A1" display="20" xr:uid="{00000000-0004-0000-2D00-000001000000}"/>
    <hyperlink ref="E10" location="'13.2.44E'!A1" display="'13.2.44E'!A1" xr:uid="{00000000-0004-0000-2D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180</v>
      </c>
      <c r="B2" s="6" t="s">
        <v>181</v>
      </c>
      <c r="C2" s="6" t="s">
        <v>14</v>
      </c>
      <c r="D2" s="6" t="s">
        <v>182</v>
      </c>
      <c r="E2" s="6" t="s">
        <v>16</v>
      </c>
      <c r="F2" s="6" t="s">
        <v>285</v>
      </c>
      <c r="G2" s="6">
        <v>71.36</v>
      </c>
      <c r="H2" s="6">
        <v>85.524960000000007</v>
      </c>
      <c r="I2" s="6">
        <v>3763.0982400000003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44</v>
      </c>
      <c r="D8" s="11" t="s">
        <v>206</v>
      </c>
      <c r="E8" s="11">
        <v>44</v>
      </c>
    </row>
    <row r="9" spans="1:9">
      <c r="A9" s="11" t="s">
        <v>207</v>
      </c>
      <c r="B9" s="11" t="s">
        <v>207</v>
      </c>
      <c r="C9" s="11">
        <f>SUBTOTAL(109,Criteria_Summary13.2.45[Elementos])</f>
        <v>44</v>
      </c>
      <c r="D9" s="11" t="s">
        <v>207</v>
      </c>
      <c r="E9" s="11">
        <f>SUBTOTAL(109,Criteria_Summary13.2.45[Total])</f>
        <v>44</v>
      </c>
    </row>
    <row r="10" spans="1:9">
      <c r="A10" s="12" t="s">
        <v>208</v>
      </c>
      <c r="B10" s="12">
        <v>0</v>
      </c>
      <c r="C10" s="13"/>
      <c r="D10" s="13"/>
      <c r="E10" s="12">
        <v>44</v>
      </c>
    </row>
    <row r="13" spans="1:9">
      <c r="A13" s="18" t="s">
        <v>206</v>
      </c>
      <c r="B13" s="18" t="s">
        <v>206</v>
      </c>
      <c r="C13" s="18" t="s">
        <v>206</v>
      </c>
      <c r="D13" s="18" t="s">
        <v>206</v>
      </c>
      <c r="E13" s="18" t="s">
        <v>206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44</v>
      </c>
      <c r="C16" s="21" t="s">
        <v>210</v>
      </c>
      <c r="D16" s="21" t="s">
        <v>210</v>
      </c>
      <c r="E16" s="11">
        <v>44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344</v>
      </c>
      <c r="B24" s="21" t="s">
        <v>344</v>
      </c>
      <c r="C24" s="21" t="s">
        <v>344</v>
      </c>
      <c r="D24" s="11" t="s">
        <v>214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60.75">
      <c r="A28" s="11" t="s">
        <v>220</v>
      </c>
      <c r="B28" s="11" t="s">
        <v>221</v>
      </c>
      <c r="C28" s="11" t="s">
        <v>346</v>
      </c>
      <c r="D28" s="11" t="s">
        <v>223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45" xr:uid="{00000000-0004-0000-2E00-000000000000}"/>
    <hyperlink ref="F2" location="'13.2.45E'!A1" display="44" xr:uid="{00000000-0004-0000-2E00-000001000000}"/>
    <hyperlink ref="E10" location="'13.2.45E'!A1" display="'13.2.45E'!A1" xr:uid="{00000000-0004-0000-2E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183</v>
      </c>
      <c r="B2" s="6" t="s">
        <v>184</v>
      </c>
      <c r="C2" s="6" t="s">
        <v>14</v>
      </c>
      <c r="D2" s="6" t="s">
        <v>185</v>
      </c>
      <c r="E2" s="6" t="s">
        <v>16</v>
      </c>
      <c r="F2" s="6" t="s">
        <v>347</v>
      </c>
      <c r="G2" s="6">
        <v>96.38</v>
      </c>
      <c r="H2" s="6">
        <v>115.51143</v>
      </c>
      <c r="I2" s="6">
        <v>462.04572000000002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4</v>
      </c>
      <c r="D8" s="11" t="s">
        <v>239</v>
      </c>
      <c r="E8" s="11">
        <v>4</v>
      </c>
    </row>
    <row r="9" spans="1:9">
      <c r="A9" s="11" t="s">
        <v>207</v>
      </c>
      <c r="B9" s="11" t="s">
        <v>207</v>
      </c>
      <c r="C9" s="11">
        <f>SUBTOTAL(109,Criteria_Summary13.2.46[Elementos])</f>
        <v>4</v>
      </c>
      <c r="D9" s="11" t="s">
        <v>207</v>
      </c>
      <c r="E9" s="11">
        <f>SUBTOTAL(109,Criteria_Summary13.2.46[Total])</f>
        <v>4</v>
      </c>
    </row>
    <row r="10" spans="1:9">
      <c r="A10" s="12" t="s">
        <v>208</v>
      </c>
      <c r="B10" s="12">
        <v>0</v>
      </c>
      <c r="C10" s="13"/>
      <c r="D10" s="13"/>
      <c r="E10" s="12">
        <v>4</v>
      </c>
    </row>
    <row r="13" spans="1:9">
      <c r="A13" s="18" t="s">
        <v>239</v>
      </c>
      <c r="B13" s="18" t="s">
        <v>239</v>
      </c>
      <c r="C13" s="18" t="s">
        <v>239</v>
      </c>
      <c r="D13" s="18" t="s">
        <v>239</v>
      </c>
      <c r="E13" s="18" t="s">
        <v>239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4</v>
      </c>
      <c r="C16" s="21" t="s">
        <v>240</v>
      </c>
      <c r="D16" s="21" t="s">
        <v>240</v>
      </c>
      <c r="E16" s="11">
        <v>4</v>
      </c>
    </row>
    <row r="18" spans="1:5">
      <c r="A18" s="22" t="s">
        <v>216</v>
      </c>
      <c r="B18" s="22" t="s">
        <v>216</v>
      </c>
      <c r="C18" s="22" t="s">
        <v>216</v>
      </c>
      <c r="D18" s="22" t="s">
        <v>216</v>
      </c>
      <c r="E18" s="22" t="s">
        <v>216</v>
      </c>
    </row>
    <row r="19" spans="1:5">
      <c r="A19" s="14" t="s">
        <v>202</v>
      </c>
      <c r="B19" s="14" t="s">
        <v>217</v>
      </c>
      <c r="C19" s="14" t="s">
        <v>218</v>
      </c>
      <c r="D19" s="14" t="s">
        <v>219</v>
      </c>
      <c r="E19" s="14"/>
    </row>
    <row r="20" spans="1:5" ht="48.75">
      <c r="A20" s="11" t="s">
        <v>220</v>
      </c>
      <c r="B20" s="11" t="s">
        <v>221</v>
      </c>
      <c r="C20" s="11" t="s">
        <v>348</v>
      </c>
      <c r="D20" s="11" t="s">
        <v>223</v>
      </c>
      <c r="E20" s="11" t="s">
        <v>224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46" xr:uid="{00000000-0004-0000-2F00-000000000000}"/>
    <hyperlink ref="F2" location="'13.2.46E'!A1" display="4" xr:uid="{00000000-0004-0000-2F00-000001000000}"/>
    <hyperlink ref="E10" location="'13.2.46E'!A1" display="'13.2.46E'!A1" xr:uid="{00000000-0004-0000-2F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187</v>
      </c>
      <c r="B2" s="6" t="s">
        <v>188</v>
      </c>
      <c r="C2" s="6" t="s">
        <v>14</v>
      </c>
      <c r="D2" s="6" t="s">
        <v>189</v>
      </c>
      <c r="E2" s="6" t="s">
        <v>16</v>
      </c>
      <c r="F2" s="6" t="s">
        <v>229</v>
      </c>
      <c r="G2" s="6">
        <v>176.26</v>
      </c>
      <c r="H2" s="6">
        <v>211.24761000000001</v>
      </c>
      <c r="I2" s="6">
        <v>1689.9808800000001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8</v>
      </c>
      <c r="D8" s="11" t="s">
        <v>239</v>
      </c>
      <c r="E8" s="11">
        <v>8</v>
      </c>
    </row>
    <row r="9" spans="1:9">
      <c r="A9" s="11" t="s">
        <v>207</v>
      </c>
      <c r="B9" s="11" t="s">
        <v>207</v>
      </c>
      <c r="C9" s="11">
        <f>SUBTOTAL(109,Criteria_Summary13.2.47[Elementos])</f>
        <v>8</v>
      </c>
      <c r="D9" s="11" t="s">
        <v>207</v>
      </c>
      <c r="E9" s="11">
        <f>SUBTOTAL(109,Criteria_Summary13.2.47[Total])</f>
        <v>8</v>
      </c>
    </row>
    <row r="10" spans="1:9">
      <c r="A10" s="12" t="s">
        <v>208</v>
      </c>
      <c r="B10" s="12">
        <v>0</v>
      </c>
      <c r="C10" s="13"/>
      <c r="D10" s="13"/>
      <c r="E10" s="12">
        <v>8</v>
      </c>
    </row>
    <row r="13" spans="1:9">
      <c r="A13" s="18" t="s">
        <v>239</v>
      </c>
      <c r="B13" s="18" t="s">
        <v>239</v>
      </c>
      <c r="C13" s="18" t="s">
        <v>239</v>
      </c>
      <c r="D13" s="18" t="s">
        <v>239</v>
      </c>
      <c r="E13" s="18" t="s">
        <v>239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8</v>
      </c>
      <c r="C16" s="21" t="s">
        <v>240</v>
      </c>
      <c r="D16" s="21" t="s">
        <v>240</v>
      </c>
      <c r="E16" s="11">
        <v>8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349</v>
      </c>
      <c r="B24" s="21" t="s">
        <v>349</v>
      </c>
      <c r="C24" s="21" t="s">
        <v>349</v>
      </c>
      <c r="D24" s="11" t="s">
        <v>264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48.75">
      <c r="A28" s="11" t="s">
        <v>220</v>
      </c>
      <c r="B28" s="11" t="s">
        <v>221</v>
      </c>
      <c r="C28" s="11" t="s">
        <v>350</v>
      </c>
      <c r="D28" s="11" t="s">
        <v>223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47" xr:uid="{00000000-0004-0000-3000-000000000000}"/>
    <hyperlink ref="F2" location="'13.2.47E'!A1" display="8" xr:uid="{00000000-0004-0000-3000-000001000000}"/>
    <hyperlink ref="E10" location="'13.2.47E'!A1" display="'13.2.47E'!A1" xr:uid="{00000000-0004-0000-30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22</v>
      </c>
      <c r="B2" s="6" t="s">
        <v>23</v>
      </c>
      <c r="C2" s="6" t="s">
        <v>14</v>
      </c>
      <c r="D2" s="6" t="s">
        <v>24</v>
      </c>
      <c r="E2" s="6" t="s">
        <v>16</v>
      </c>
      <c r="F2" s="6" t="s">
        <v>227</v>
      </c>
      <c r="G2" s="6">
        <v>3.5</v>
      </c>
      <c r="H2" s="6">
        <v>4.1947500000000009</v>
      </c>
      <c r="I2" s="6">
        <v>12.584250000000003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3</v>
      </c>
      <c r="D8" s="11" t="s">
        <v>206</v>
      </c>
      <c r="E8" s="11">
        <v>3</v>
      </c>
    </row>
    <row r="9" spans="1:9">
      <c r="A9" s="11" t="s">
        <v>207</v>
      </c>
      <c r="B9" s="11" t="s">
        <v>207</v>
      </c>
      <c r="C9" s="11">
        <f>SUBTOTAL(109,Criteria_Summary13.2.3[Elementos])</f>
        <v>3</v>
      </c>
      <c r="D9" s="11" t="s">
        <v>207</v>
      </c>
      <c r="E9" s="11">
        <f>SUBTOTAL(109,Criteria_Summary13.2.3[Total])</f>
        <v>3</v>
      </c>
    </row>
    <row r="10" spans="1:9">
      <c r="A10" s="12" t="s">
        <v>208</v>
      </c>
      <c r="B10" s="12">
        <v>0</v>
      </c>
      <c r="C10" s="13"/>
      <c r="D10" s="13"/>
      <c r="E10" s="12">
        <v>3</v>
      </c>
    </row>
    <row r="13" spans="1:9">
      <c r="A13" s="18" t="s">
        <v>206</v>
      </c>
      <c r="B13" s="18" t="s">
        <v>206</v>
      </c>
      <c r="C13" s="18" t="s">
        <v>206</v>
      </c>
      <c r="D13" s="18" t="s">
        <v>206</v>
      </c>
      <c r="E13" s="18" t="s">
        <v>206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3</v>
      </c>
      <c r="C16" s="21" t="s">
        <v>210</v>
      </c>
      <c r="D16" s="21" t="s">
        <v>210</v>
      </c>
      <c r="E16" s="11">
        <v>3</v>
      </c>
    </row>
    <row r="18" spans="1:5">
      <c r="A18" s="22" t="s">
        <v>211</v>
      </c>
      <c r="B18" s="22" t="s">
        <v>211</v>
      </c>
      <c r="C18" s="22" t="s">
        <v>211</v>
      </c>
      <c r="D18" s="22" t="s">
        <v>211</v>
      </c>
      <c r="E18" s="22" t="s">
        <v>211</v>
      </c>
    </row>
    <row r="19" spans="1:5">
      <c r="A19" s="20" t="s">
        <v>212</v>
      </c>
      <c r="B19" s="14"/>
      <c r="C19" s="14"/>
      <c r="D19" s="14" t="s">
        <v>202</v>
      </c>
      <c r="E19" s="14"/>
    </row>
    <row r="20" spans="1:5">
      <c r="A20" s="21" t="s">
        <v>213</v>
      </c>
      <c r="B20" s="21" t="s">
        <v>213</v>
      </c>
      <c r="C20" s="21" t="s">
        <v>213</v>
      </c>
      <c r="D20" s="11" t="s">
        <v>214</v>
      </c>
      <c r="E20" s="11" t="s">
        <v>215</v>
      </c>
    </row>
    <row r="22" spans="1:5">
      <c r="A22" s="22" t="s">
        <v>216</v>
      </c>
      <c r="B22" s="22" t="s">
        <v>216</v>
      </c>
      <c r="C22" s="22" t="s">
        <v>216</v>
      </c>
      <c r="D22" s="22" t="s">
        <v>216</v>
      </c>
      <c r="E22" s="22" t="s">
        <v>216</v>
      </c>
    </row>
    <row r="23" spans="1:5">
      <c r="A23" s="14" t="s">
        <v>202</v>
      </c>
      <c r="B23" s="14" t="s">
        <v>217</v>
      </c>
      <c r="C23" s="14" t="s">
        <v>218</v>
      </c>
      <c r="D23" s="14" t="s">
        <v>219</v>
      </c>
      <c r="E23" s="14"/>
    </row>
    <row r="24" spans="1:5" ht="60.75">
      <c r="A24" s="11" t="s">
        <v>220</v>
      </c>
      <c r="B24" s="11" t="s">
        <v>221</v>
      </c>
      <c r="C24" s="11" t="s">
        <v>228</v>
      </c>
      <c r="D24" s="11" t="s">
        <v>223</v>
      </c>
      <c r="E24" s="11" t="s">
        <v>224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2'!A1" display="13.2.3" xr:uid="{00000000-0004-0000-0400-000000000000}"/>
    <hyperlink ref="F2" location="'13.2.3E'!A1" display="3" xr:uid="{00000000-0004-0000-0400-000001000000}"/>
    <hyperlink ref="E10" location="'13.2.3E'!A1" display="'13.2.3E'!A1" xr:uid="{00000000-0004-0000-0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190</v>
      </c>
      <c r="B2" s="6" t="s">
        <v>191</v>
      </c>
      <c r="C2" s="6" t="s">
        <v>32</v>
      </c>
      <c r="D2" s="6" t="s">
        <v>192</v>
      </c>
      <c r="E2" s="6" t="s">
        <v>16</v>
      </c>
      <c r="F2" s="6" t="s">
        <v>227</v>
      </c>
      <c r="G2" s="6">
        <v>105.02</v>
      </c>
      <c r="H2" s="6">
        <v>125.86647000000001</v>
      </c>
      <c r="I2" s="6">
        <v>377.59941000000003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3</v>
      </c>
      <c r="D8" s="11" t="s">
        <v>239</v>
      </c>
      <c r="E8" s="11">
        <v>3</v>
      </c>
    </row>
    <row r="9" spans="1:9">
      <c r="A9" s="11" t="s">
        <v>207</v>
      </c>
      <c r="B9" s="11" t="s">
        <v>207</v>
      </c>
      <c r="C9" s="11">
        <f>SUBTOTAL(109,Criteria_Summary13.2.48[Elementos])</f>
        <v>3</v>
      </c>
      <c r="D9" s="11" t="s">
        <v>207</v>
      </c>
      <c r="E9" s="11">
        <f>SUBTOTAL(109,Criteria_Summary13.2.48[Total])</f>
        <v>3</v>
      </c>
    </row>
    <row r="10" spans="1:9">
      <c r="A10" s="12" t="s">
        <v>208</v>
      </c>
      <c r="B10" s="12">
        <v>0</v>
      </c>
      <c r="C10" s="13"/>
      <c r="D10" s="13"/>
      <c r="E10" s="12">
        <v>3</v>
      </c>
    </row>
    <row r="13" spans="1:9">
      <c r="A13" s="18" t="s">
        <v>239</v>
      </c>
      <c r="B13" s="18" t="s">
        <v>239</v>
      </c>
      <c r="C13" s="18" t="s">
        <v>239</v>
      </c>
      <c r="D13" s="18" t="s">
        <v>239</v>
      </c>
      <c r="E13" s="18" t="s">
        <v>239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3</v>
      </c>
      <c r="C16" s="21" t="s">
        <v>240</v>
      </c>
      <c r="D16" s="21" t="s">
        <v>240</v>
      </c>
      <c r="E16" s="11">
        <v>3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351</v>
      </c>
      <c r="B24" s="21" t="s">
        <v>351</v>
      </c>
      <c r="C24" s="21" t="s">
        <v>351</v>
      </c>
      <c r="D24" s="11" t="s">
        <v>352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60.75">
      <c r="A28" s="11" t="s">
        <v>202</v>
      </c>
      <c r="B28" s="11" t="s">
        <v>221</v>
      </c>
      <c r="C28" s="11" t="s">
        <v>353</v>
      </c>
      <c r="D28" s="11" t="s">
        <v>4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48" xr:uid="{00000000-0004-0000-3100-000000000000}"/>
    <hyperlink ref="F2" location="'13.2.48E'!A1" display="3" xr:uid="{00000000-0004-0000-3100-000001000000}"/>
    <hyperlink ref="E10" location="'13.2.48E'!A1" display="'13.2.48E'!A1" xr:uid="{00000000-0004-0000-31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193</v>
      </c>
      <c r="B2" s="6" t="s">
        <v>194</v>
      </c>
      <c r="C2" s="6" t="s">
        <v>32</v>
      </c>
      <c r="D2" s="6" t="s">
        <v>195</v>
      </c>
      <c r="E2" s="6" t="s">
        <v>16</v>
      </c>
      <c r="F2" s="6" t="s">
        <v>268</v>
      </c>
      <c r="G2" s="6">
        <v>43.43</v>
      </c>
      <c r="H2" s="6">
        <v>52.050855000000006</v>
      </c>
      <c r="I2" s="6">
        <v>2654.5936050000005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51</v>
      </c>
      <c r="D8" s="11" t="s">
        <v>239</v>
      </c>
      <c r="E8" s="11">
        <v>51</v>
      </c>
    </row>
    <row r="9" spans="1:9">
      <c r="A9" s="11" t="s">
        <v>207</v>
      </c>
      <c r="B9" s="11" t="s">
        <v>207</v>
      </c>
      <c r="C9" s="11">
        <f>SUBTOTAL(109,Criteria_Summary13.2.49[Elementos])</f>
        <v>51</v>
      </c>
      <c r="D9" s="11" t="s">
        <v>207</v>
      </c>
      <c r="E9" s="11">
        <f>SUBTOTAL(109,Criteria_Summary13.2.49[Total])</f>
        <v>51</v>
      </c>
    </row>
    <row r="10" spans="1:9">
      <c r="A10" s="12" t="s">
        <v>208</v>
      </c>
      <c r="B10" s="12">
        <v>0</v>
      </c>
      <c r="C10" s="13"/>
      <c r="D10" s="13"/>
      <c r="E10" s="12">
        <v>51</v>
      </c>
    </row>
    <row r="13" spans="1:9">
      <c r="A13" s="18" t="s">
        <v>239</v>
      </c>
      <c r="B13" s="18" t="s">
        <v>239</v>
      </c>
      <c r="C13" s="18" t="s">
        <v>239</v>
      </c>
      <c r="D13" s="18" t="s">
        <v>239</v>
      </c>
      <c r="E13" s="18" t="s">
        <v>239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51</v>
      </c>
      <c r="C16" s="21" t="s">
        <v>240</v>
      </c>
      <c r="D16" s="21" t="s">
        <v>240</v>
      </c>
      <c r="E16" s="11">
        <v>51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351</v>
      </c>
      <c r="B24" s="21" t="s">
        <v>351</v>
      </c>
      <c r="C24" s="21" t="s">
        <v>351</v>
      </c>
      <c r="D24" s="11" t="s">
        <v>249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60.75">
      <c r="A28" s="11" t="s">
        <v>202</v>
      </c>
      <c r="B28" s="11" t="s">
        <v>221</v>
      </c>
      <c r="C28" s="11" t="s">
        <v>354</v>
      </c>
      <c r="D28" s="11" t="s">
        <v>4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49" xr:uid="{00000000-0004-0000-3200-000000000000}"/>
    <hyperlink ref="F2" location="'13.2.49E'!A1" display="51" xr:uid="{00000000-0004-0000-3200-000001000000}"/>
    <hyperlink ref="E10" location="'13.2.49E'!A1" display="'13.2.49E'!A1" xr:uid="{00000000-0004-0000-3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>
    <tabColor rgb="FFFCF8E3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8" t="s">
        <v>196</v>
      </c>
      <c r="B2" s="8" t="s">
        <v>197</v>
      </c>
      <c r="C2" s="8" t="s">
        <v>198</v>
      </c>
      <c r="D2" s="8" t="s">
        <v>199</v>
      </c>
      <c r="E2" s="8" t="s">
        <v>16</v>
      </c>
      <c r="F2" s="8" t="s">
        <v>229</v>
      </c>
      <c r="G2" s="8">
        <v>3012.19</v>
      </c>
      <c r="H2" s="8">
        <v>3610.1097150000005</v>
      </c>
      <c r="I2" s="8">
        <v>28880.877720000004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8</v>
      </c>
      <c r="D8" s="11" t="s">
        <v>239</v>
      </c>
      <c r="E8" s="11">
        <v>8</v>
      </c>
    </row>
    <row r="9" spans="1:9">
      <c r="A9" s="11" t="s">
        <v>207</v>
      </c>
      <c r="B9" s="11" t="s">
        <v>207</v>
      </c>
      <c r="C9" s="11">
        <f>SUBTOTAL(109,Criteria_Summary13.2.50[Elementos])</f>
        <v>8</v>
      </c>
      <c r="D9" s="11" t="s">
        <v>207</v>
      </c>
      <c r="E9" s="11">
        <f>SUBTOTAL(109,Criteria_Summary13.2.50[Total])</f>
        <v>8</v>
      </c>
    </row>
    <row r="10" spans="1:9">
      <c r="A10" s="12" t="s">
        <v>208</v>
      </c>
      <c r="B10" s="12">
        <v>0</v>
      </c>
      <c r="C10" s="13"/>
      <c r="D10" s="13"/>
      <c r="E10" s="12">
        <v>8</v>
      </c>
    </row>
    <row r="13" spans="1:9">
      <c r="A13" s="18" t="s">
        <v>239</v>
      </c>
      <c r="B13" s="18" t="s">
        <v>239</v>
      </c>
      <c r="C13" s="18" t="s">
        <v>239</v>
      </c>
      <c r="D13" s="18" t="s">
        <v>239</v>
      </c>
      <c r="E13" s="18" t="s">
        <v>239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8</v>
      </c>
      <c r="C16" s="21" t="s">
        <v>240</v>
      </c>
      <c r="D16" s="21" t="s">
        <v>240</v>
      </c>
      <c r="E16" s="11">
        <v>8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355</v>
      </c>
      <c r="B24" s="21" t="s">
        <v>355</v>
      </c>
      <c r="C24" s="21" t="s">
        <v>355</v>
      </c>
      <c r="D24" s="11" t="s">
        <v>356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36.75">
      <c r="A28" s="11" t="s">
        <v>220</v>
      </c>
      <c r="B28" s="11" t="s">
        <v>221</v>
      </c>
      <c r="C28" s="11" t="s">
        <v>357</v>
      </c>
      <c r="D28" s="11" t="s">
        <v>223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50" xr:uid="{00000000-0004-0000-3300-000000000000}"/>
    <hyperlink ref="F2" location="'13.2.50E'!A1" display="8" xr:uid="{00000000-0004-0000-3300-000001000000}"/>
    <hyperlink ref="E10" location="'13.2.50E'!A1" display="'13.2.50E'!A1" xr:uid="{00000000-0004-0000-3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E13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15</v>
      </c>
      <c r="B1" s="23" t="s">
        <v>15</v>
      </c>
      <c r="C1" s="23" t="s">
        <v>15</v>
      </c>
      <c r="D1" s="23" t="s">
        <v>15</v>
      </c>
      <c r="E1" s="23" t="s">
        <v>15</v>
      </c>
    </row>
    <row r="2" spans="1:5">
      <c r="A2" s="23" t="s">
        <v>15</v>
      </c>
      <c r="B2" s="23" t="s">
        <v>15</v>
      </c>
      <c r="C2" s="23" t="s">
        <v>15</v>
      </c>
      <c r="D2" s="23" t="s">
        <v>15</v>
      </c>
      <c r="E2" s="23" t="s">
        <v>15</v>
      </c>
    </row>
    <row r="4" spans="1:5">
      <c r="A4" s="18" t="s">
        <v>206</v>
      </c>
      <c r="B4" s="18" t="s">
        <v>206</v>
      </c>
      <c r="C4" s="18" t="s">
        <v>206</v>
      </c>
      <c r="D4" s="18" t="s">
        <v>206</v>
      </c>
      <c r="E4" s="18" t="s">
        <v>206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364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365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366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367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368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369</v>
      </c>
      <c r="E12" s="11">
        <v>1</v>
      </c>
    </row>
    <row r="13" spans="1:5">
      <c r="A13" s="1" t="s">
        <v>207</v>
      </c>
      <c r="B13" s="1" t="s">
        <v>207</v>
      </c>
      <c r="C13" s="1">
        <f>SUBTOTAL(103,Elements13211[Elemento])</f>
        <v>6</v>
      </c>
      <c r="D13" s="1" t="s">
        <v>207</v>
      </c>
      <c r="E13" s="1">
        <f>SUBTOTAL(109,Elements13211[Totais:])</f>
        <v>6</v>
      </c>
    </row>
  </sheetData>
  <mergeCells count="3">
    <mergeCell ref="A1:E2"/>
    <mergeCell ref="A4:E4"/>
    <mergeCell ref="A5:E5"/>
  </mergeCells>
  <hyperlinks>
    <hyperlink ref="A1" location="'13.2.1'!A1" display="LUVA SOLDAVEL,COM DIAMETRO DE 25MM.FORNECIMENTO" xr:uid="{00000000-0004-0000-3400-000000000000}"/>
    <hyperlink ref="B1" location="'13.2.1'!A1" display="LUVA SOLDAVEL,COM DIAMETRO DE 25MM.FORNECIMENTO" xr:uid="{00000000-0004-0000-3400-000001000000}"/>
    <hyperlink ref="C1" location="'13.2.1'!A1" display="LUVA SOLDAVEL,COM DIAMETRO DE 25MM.FORNECIMENTO" xr:uid="{00000000-0004-0000-3400-000002000000}"/>
    <hyperlink ref="D1" location="'13.2.1'!A1" display="LUVA SOLDAVEL,COM DIAMETRO DE 25MM.FORNECIMENTO" xr:uid="{00000000-0004-0000-3400-000003000000}"/>
    <hyperlink ref="E1" location="'13.2.1'!A1" display="LUVA SOLDAVEL,COM DIAMETRO DE 25MM.FORNECIMENTO" xr:uid="{00000000-0004-0000-3400-000004000000}"/>
    <hyperlink ref="A2" location="'13.2.1'!A1" display="LUVA SOLDAVEL,COM DIAMETRO DE 25MM.FORNECIMENTO" xr:uid="{00000000-0004-0000-3400-000005000000}"/>
    <hyperlink ref="B2" location="'13.2.1'!A1" display="LUVA SOLDAVEL,COM DIAMETRO DE 25MM.FORNECIMENTO" xr:uid="{00000000-0004-0000-3400-000006000000}"/>
    <hyperlink ref="C2" location="'13.2.1'!A1" display="LUVA SOLDAVEL,COM DIAMETRO DE 25MM.FORNECIMENTO" xr:uid="{00000000-0004-0000-3400-000007000000}"/>
    <hyperlink ref="D2" location="'13.2.1'!A1" display="LUVA SOLDAVEL,COM DIAMETRO DE 25MM.FORNECIMENTO" xr:uid="{00000000-0004-0000-3400-000008000000}"/>
    <hyperlink ref="E2" location="'13.2.1'!A1" display="LUVA SOLDAVEL,COM DIAMETRO DE 25MM.FORNECIMENTO" xr:uid="{00000000-0004-0000-3400-000009000000}"/>
    <hyperlink ref="A4" location="'13.2.1'!A1" display="Conexões de tubo (Afastamento)" xr:uid="{00000000-0004-0000-3400-00000A000000}"/>
    <hyperlink ref="B4" location="'13.2.1'!A1" display="Conexões de tubo (Afastamento)" xr:uid="{00000000-0004-0000-3400-00000B000000}"/>
    <hyperlink ref="C4" location="'13.2.1'!A1" display="Conexões de tubo (Afastamento)" xr:uid="{00000000-0004-0000-3400-00000C000000}"/>
    <hyperlink ref="D4" location="'13.2.1'!A1" display="Conexões de tubo (Afastamento)" xr:uid="{00000000-0004-0000-3400-00000D000000}"/>
    <hyperlink ref="E4" location="'13.2.1'!A1" display="Conexões de tubo (Afastamento)" xr:uid="{00000000-0004-0000-34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E3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20</v>
      </c>
      <c r="B1" s="23" t="s">
        <v>20</v>
      </c>
      <c r="C1" s="23" t="s">
        <v>20</v>
      </c>
      <c r="D1" s="23" t="s">
        <v>20</v>
      </c>
      <c r="E1" s="23" t="s">
        <v>20</v>
      </c>
    </row>
    <row r="2" spans="1:5">
      <c r="A2" s="23" t="s">
        <v>20</v>
      </c>
      <c r="B2" s="23" t="s">
        <v>20</v>
      </c>
      <c r="C2" s="23" t="s">
        <v>20</v>
      </c>
      <c r="D2" s="23" t="s">
        <v>20</v>
      </c>
      <c r="E2" s="23" t="s">
        <v>20</v>
      </c>
    </row>
    <row r="4" spans="1:5">
      <c r="A4" s="18" t="s">
        <v>206</v>
      </c>
      <c r="B4" s="18" t="s">
        <v>206</v>
      </c>
      <c r="C4" s="18" t="s">
        <v>206</v>
      </c>
      <c r="D4" s="18" t="s">
        <v>206</v>
      </c>
      <c r="E4" s="18" t="s">
        <v>206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370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371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372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373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374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375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214</v>
      </c>
      <c r="D13" s="11" t="s">
        <v>376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214</v>
      </c>
      <c r="D14" s="11" t="s">
        <v>377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214</v>
      </c>
      <c r="D15" s="11" t="s">
        <v>378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214</v>
      </c>
      <c r="D16" s="11" t="s">
        <v>379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214</v>
      </c>
      <c r="D17" s="11" t="s">
        <v>380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214</v>
      </c>
      <c r="D18" s="11" t="s">
        <v>381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214</v>
      </c>
      <c r="D19" s="11" t="s">
        <v>382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214</v>
      </c>
      <c r="D20" s="11" t="s">
        <v>383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214</v>
      </c>
      <c r="D21" s="11" t="s">
        <v>384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214</v>
      </c>
      <c r="D22" s="11" t="s">
        <v>385</v>
      </c>
      <c r="E22" s="11">
        <v>1</v>
      </c>
    </row>
    <row r="23" spans="1:5" ht="24.75">
      <c r="A23" s="11" t="s">
        <v>363</v>
      </c>
      <c r="B23" s="11" t="s">
        <v>233</v>
      </c>
      <c r="C23" s="11" t="s">
        <v>214</v>
      </c>
      <c r="D23" s="11" t="s">
        <v>386</v>
      </c>
      <c r="E23" s="11">
        <v>1</v>
      </c>
    </row>
    <row r="24" spans="1:5" ht="24.75">
      <c r="A24" s="11" t="s">
        <v>363</v>
      </c>
      <c r="B24" s="11" t="s">
        <v>233</v>
      </c>
      <c r="C24" s="11" t="s">
        <v>214</v>
      </c>
      <c r="D24" s="11" t="s">
        <v>387</v>
      </c>
      <c r="E24" s="11">
        <v>1</v>
      </c>
    </row>
    <row r="25" spans="1:5" ht="24.75">
      <c r="A25" s="11" t="s">
        <v>363</v>
      </c>
      <c r="B25" s="11" t="s">
        <v>233</v>
      </c>
      <c r="C25" s="11" t="s">
        <v>214</v>
      </c>
      <c r="D25" s="11" t="s">
        <v>388</v>
      </c>
      <c r="E25" s="11">
        <v>1</v>
      </c>
    </row>
    <row r="26" spans="1:5" ht="24.75">
      <c r="A26" s="11" t="s">
        <v>363</v>
      </c>
      <c r="B26" s="11" t="s">
        <v>233</v>
      </c>
      <c r="C26" s="11" t="s">
        <v>214</v>
      </c>
      <c r="D26" s="11" t="s">
        <v>389</v>
      </c>
      <c r="E26" s="11">
        <v>1</v>
      </c>
    </row>
    <row r="27" spans="1:5" ht="24.75">
      <c r="A27" s="11" t="s">
        <v>363</v>
      </c>
      <c r="B27" s="11" t="s">
        <v>233</v>
      </c>
      <c r="C27" s="11" t="s">
        <v>214</v>
      </c>
      <c r="D27" s="11" t="s">
        <v>390</v>
      </c>
      <c r="E27" s="11">
        <v>1</v>
      </c>
    </row>
    <row r="28" spans="1:5" ht="24.75">
      <c r="A28" s="11" t="s">
        <v>363</v>
      </c>
      <c r="B28" s="11" t="s">
        <v>233</v>
      </c>
      <c r="C28" s="11" t="s">
        <v>214</v>
      </c>
      <c r="D28" s="11" t="s">
        <v>391</v>
      </c>
      <c r="E28" s="11">
        <v>1</v>
      </c>
    </row>
    <row r="29" spans="1:5" ht="24.75">
      <c r="A29" s="11" t="s">
        <v>363</v>
      </c>
      <c r="B29" s="11" t="s">
        <v>233</v>
      </c>
      <c r="C29" s="11" t="s">
        <v>214</v>
      </c>
      <c r="D29" s="11" t="s">
        <v>392</v>
      </c>
      <c r="E29" s="11">
        <v>1</v>
      </c>
    </row>
    <row r="30" spans="1:5" ht="24.75">
      <c r="A30" s="11" t="s">
        <v>363</v>
      </c>
      <c r="B30" s="11" t="s">
        <v>233</v>
      </c>
      <c r="C30" s="11" t="s">
        <v>214</v>
      </c>
      <c r="D30" s="11" t="s">
        <v>393</v>
      </c>
      <c r="E30" s="11">
        <v>1</v>
      </c>
    </row>
    <row r="31" spans="1:5" ht="24.75">
      <c r="A31" s="11" t="s">
        <v>363</v>
      </c>
      <c r="B31" s="11" t="s">
        <v>233</v>
      </c>
      <c r="C31" s="11" t="s">
        <v>214</v>
      </c>
      <c r="D31" s="11" t="s">
        <v>394</v>
      </c>
      <c r="E31" s="11">
        <v>1</v>
      </c>
    </row>
    <row r="32" spans="1:5" ht="24.75">
      <c r="A32" s="11" t="s">
        <v>363</v>
      </c>
      <c r="B32" s="11" t="s">
        <v>233</v>
      </c>
      <c r="C32" s="11" t="s">
        <v>214</v>
      </c>
      <c r="D32" s="11" t="s">
        <v>395</v>
      </c>
      <c r="E32" s="11">
        <v>1</v>
      </c>
    </row>
    <row r="33" spans="1:5" ht="24.75">
      <c r="A33" s="11" t="s">
        <v>363</v>
      </c>
      <c r="B33" s="11" t="s">
        <v>233</v>
      </c>
      <c r="C33" s="11" t="s">
        <v>214</v>
      </c>
      <c r="D33" s="11" t="s">
        <v>396</v>
      </c>
      <c r="E33" s="11">
        <v>1</v>
      </c>
    </row>
    <row r="34" spans="1:5" ht="24.75">
      <c r="A34" s="11" t="s">
        <v>363</v>
      </c>
      <c r="B34" s="11" t="s">
        <v>233</v>
      </c>
      <c r="C34" s="11" t="s">
        <v>214</v>
      </c>
      <c r="D34" s="11" t="s">
        <v>397</v>
      </c>
      <c r="E34" s="11">
        <v>1</v>
      </c>
    </row>
    <row r="35" spans="1:5">
      <c r="A35" s="1" t="s">
        <v>207</v>
      </c>
      <c r="B35" s="1" t="s">
        <v>207</v>
      </c>
      <c r="C35" s="1">
        <f>SUBTOTAL(103,Elements13221[Elemento])</f>
        <v>28</v>
      </c>
      <c r="D35" s="1" t="s">
        <v>207</v>
      </c>
      <c r="E35" s="1">
        <f>SUBTOTAL(109,Elements13221[Totais:])</f>
        <v>28</v>
      </c>
    </row>
  </sheetData>
  <mergeCells count="3">
    <mergeCell ref="A1:E2"/>
    <mergeCell ref="A4:E4"/>
    <mergeCell ref="A5:E5"/>
  </mergeCells>
  <hyperlinks>
    <hyperlink ref="A1" location="'13.2.2'!A1" display="LUVA SOLDAVEL,COM DIAMETRO DE 60MM.FORNECIMENTO" xr:uid="{00000000-0004-0000-3500-000000000000}"/>
    <hyperlink ref="B1" location="'13.2.2'!A1" display="LUVA SOLDAVEL,COM DIAMETRO DE 60MM.FORNECIMENTO" xr:uid="{00000000-0004-0000-3500-000001000000}"/>
    <hyperlink ref="C1" location="'13.2.2'!A1" display="LUVA SOLDAVEL,COM DIAMETRO DE 60MM.FORNECIMENTO" xr:uid="{00000000-0004-0000-3500-000002000000}"/>
    <hyperlink ref="D1" location="'13.2.2'!A1" display="LUVA SOLDAVEL,COM DIAMETRO DE 60MM.FORNECIMENTO" xr:uid="{00000000-0004-0000-3500-000003000000}"/>
    <hyperlink ref="E1" location="'13.2.2'!A1" display="LUVA SOLDAVEL,COM DIAMETRO DE 60MM.FORNECIMENTO" xr:uid="{00000000-0004-0000-3500-000004000000}"/>
    <hyperlink ref="A2" location="'13.2.2'!A1" display="LUVA SOLDAVEL,COM DIAMETRO DE 60MM.FORNECIMENTO" xr:uid="{00000000-0004-0000-3500-000005000000}"/>
    <hyperlink ref="B2" location="'13.2.2'!A1" display="LUVA SOLDAVEL,COM DIAMETRO DE 60MM.FORNECIMENTO" xr:uid="{00000000-0004-0000-3500-000006000000}"/>
    <hyperlink ref="C2" location="'13.2.2'!A1" display="LUVA SOLDAVEL,COM DIAMETRO DE 60MM.FORNECIMENTO" xr:uid="{00000000-0004-0000-3500-000007000000}"/>
    <hyperlink ref="D2" location="'13.2.2'!A1" display="LUVA SOLDAVEL,COM DIAMETRO DE 60MM.FORNECIMENTO" xr:uid="{00000000-0004-0000-3500-000008000000}"/>
    <hyperlink ref="E2" location="'13.2.2'!A1" display="LUVA SOLDAVEL,COM DIAMETRO DE 60MM.FORNECIMENTO" xr:uid="{00000000-0004-0000-3500-000009000000}"/>
    <hyperlink ref="A4" location="'13.2.2'!A1" display="Conexões de tubo (Afastamento)" xr:uid="{00000000-0004-0000-3500-00000A000000}"/>
    <hyperlink ref="B4" location="'13.2.2'!A1" display="Conexões de tubo (Afastamento)" xr:uid="{00000000-0004-0000-3500-00000B000000}"/>
    <hyperlink ref="C4" location="'13.2.2'!A1" display="Conexões de tubo (Afastamento)" xr:uid="{00000000-0004-0000-3500-00000C000000}"/>
    <hyperlink ref="D4" location="'13.2.2'!A1" display="Conexões de tubo (Afastamento)" xr:uid="{00000000-0004-0000-3500-00000D000000}"/>
    <hyperlink ref="E4" location="'13.2.2'!A1" display="Conexões de tubo (Afastamento)" xr:uid="{00000000-0004-0000-35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E1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24</v>
      </c>
      <c r="B1" s="23" t="s">
        <v>24</v>
      </c>
      <c r="C1" s="23" t="s">
        <v>24</v>
      </c>
      <c r="D1" s="23" t="s">
        <v>24</v>
      </c>
      <c r="E1" s="23" t="s">
        <v>24</v>
      </c>
    </row>
    <row r="2" spans="1:5">
      <c r="A2" s="23" t="s">
        <v>24</v>
      </c>
      <c r="B2" s="23" t="s">
        <v>24</v>
      </c>
      <c r="C2" s="23" t="s">
        <v>24</v>
      </c>
      <c r="D2" s="23" t="s">
        <v>24</v>
      </c>
      <c r="E2" s="23" t="s">
        <v>24</v>
      </c>
    </row>
    <row r="4" spans="1:5">
      <c r="A4" s="18" t="s">
        <v>206</v>
      </c>
      <c r="B4" s="18" t="s">
        <v>206</v>
      </c>
      <c r="C4" s="18" t="s">
        <v>206</v>
      </c>
      <c r="D4" s="18" t="s">
        <v>206</v>
      </c>
      <c r="E4" s="18" t="s">
        <v>206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398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399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400</v>
      </c>
      <c r="E9" s="11">
        <v>1</v>
      </c>
    </row>
    <row r="10" spans="1:5">
      <c r="A10" s="1" t="s">
        <v>207</v>
      </c>
      <c r="B10" s="1" t="s">
        <v>207</v>
      </c>
      <c r="C10" s="1">
        <f>SUBTOTAL(103,Elements13231[Elemento])</f>
        <v>3</v>
      </c>
      <c r="D10" s="1" t="s">
        <v>207</v>
      </c>
      <c r="E10" s="1">
        <f>SUBTOTAL(109,Elements13231[Totais:])</f>
        <v>3</v>
      </c>
    </row>
  </sheetData>
  <mergeCells count="3">
    <mergeCell ref="A1:E2"/>
    <mergeCell ref="A4:E4"/>
    <mergeCell ref="A5:E5"/>
  </mergeCells>
  <hyperlinks>
    <hyperlink ref="A1" location="'13.2.3'!A1" display="LUVA SOLDAVEL,COM DIAMETRO DE 50MM.FORNECIMENTO" xr:uid="{00000000-0004-0000-3600-000000000000}"/>
    <hyperlink ref="B1" location="'13.2.3'!A1" display="LUVA SOLDAVEL,COM DIAMETRO DE 50MM.FORNECIMENTO" xr:uid="{00000000-0004-0000-3600-000001000000}"/>
    <hyperlink ref="C1" location="'13.2.3'!A1" display="LUVA SOLDAVEL,COM DIAMETRO DE 50MM.FORNECIMENTO" xr:uid="{00000000-0004-0000-3600-000002000000}"/>
    <hyperlink ref="D1" location="'13.2.3'!A1" display="LUVA SOLDAVEL,COM DIAMETRO DE 50MM.FORNECIMENTO" xr:uid="{00000000-0004-0000-3600-000003000000}"/>
    <hyperlink ref="E1" location="'13.2.3'!A1" display="LUVA SOLDAVEL,COM DIAMETRO DE 50MM.FORNECIMENTO" xr:uid="{00000000-0004-0000-3600-000004000000}"/>
    <hyperlink ref="A2" location="'13.2.3'!A1" display="LUVA SOLDAVEL,COM DIAMETRO DE 50MM.FORNECIMENTO" xr:uid="{00000000-0004-0000-3600-000005000000}"/>
    <hyperlink ref="B2" location="'13.2.3'!A1" display="LUVA SOLDAVEL,COM DIAMETRO DE 50MM.FORNECIMENTO" xr:uid="{00000000-0004-0000-3600-000006000000}"/>
    <hyperlink ref="C2" location="'13.2.3'!A1" display="LUVA SOLDAVEL,COM DIAMETRO DE 50MM.FORNECIMENTO" xr:uid="{00000000-0004-0000-3600-000007000000}"/>
    <hyperlink ref="D2" location="'13.2.3'!A1" display="LUVA SOLDAVEL,COM DIAMETRO DE 50MM.FORNECIMENTO" xr:uid="{00000000-0004-0000-3600-000008000000}"/>
    <hyperlink ref="E2" location="'13.2.3'!A1" display="LUVA SOLDAVEL,COM DIAMETRO DE 50MM.FORNECIMENTO" xr:uid="{00000000-0004-0000-3600-000009000000}"/>
    <hyperlink ref="A4" location="'13.2.3'!A1" display="Conexões de tubo (Afastamento)" xr:uid="{00000000-0004-0000-3600-00000A000000}"/>
    <hyperlink ref="B4" location="'13.2.3'!A1" display="Conexões de tubo (Afastamento)" xr:uid="{00000000-0004-0000-3600-00000B000000}"/>
    <hyperlink ref="C4" location="'13.2.3'!A1" display="Conexões de tubo (Afastamento)" xr:uid="{00000000-0004-0000-3600-00000C000000}"/>
    <hyperlink ref="D4" location="'13.2.3'!A1" display="Conexões de tubo (Afastamento)" xr:uid="{00000000-0004-0000-3600-00000D000000}"/>
    <hyperlink ref="E4" location="'13.2.3'!A1" display="Conexões de tubo (Afastamento)" xr:uid="{00000000-0004-0000-36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E1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28</v>
      </c>
      <c r="B1" s="23" t="s">
        <v>28</v>
      </c>
      <c r="C1" s="23" t="s">
        <v>28</v>
      </c>
      <c r="D1" s="23" t="s">
        <v>28</v>
      </c>
      <c r="E1" s="23" t="s">
        <v>28</v>
      </c>
    </row>
    <row r="2" spans="1:5">
      <c r="A2" s="23" t="s">
        <v>28</v>
      </c>
      <c r="B2" s="23" t="s">
        <v>28</v>
      </c>
      <c r="C2" s="23" t="s">
        <v>28</v>
      </c>
      <c r="D2" s="23" t="s">
        <v>28</v>
      </c>
      <c r="E2" s="23" t="s">
        <v>28</v>
      </c>
    </row>
    <row r="4" spans="1:5">
      <c r="A4" s="18" t="s">
        <v>206</v>
      </c>
      <c r="B4" s="18" t="s">
        <v>206</v>
      </c>
      <c r="C4" s="18" t="s">
        <v>206</v>
      </c>
      <c r="D4" s="18" t="s">
        <v>206</v>
      </c>
      <c r="E4" s="18" t="s">
        <v>206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401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402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403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404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405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406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214</v>
      </c>
      <c r="D13" s="11" t="s">
        <v>407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214</v>
      </c>
      <c r="D14" s="11" t="s">
        <v>408</v>
      </c>
      <c r="E14" s="11">
        <v>1</v>
      </c>
    </row>
    <row r="15" spans="1:5">
      <c r="A15" s="1" t="s">
        <v>207</v>
      </c>
      <c r="B15" s="1" t="s">
        <v>207</v>
      </c>
      <c r="C15" s="1">
        <f>SUBTOTAL(103,Elements13241[Elemento])</f>
        <v>8</v>
      </c>
      <c r="D15" s="1" t="s">
        <v>207</v>
      </c>
      <c r="E15" s="1">
        <f>SUBTOTAL(109,Elements13241[Totais:])</f>
        <v>8</v>
      </c>
    </row>
  </sheetData>
  <mergeCells count="3">
    <mergeCell ref="A1:E2"/>
    <mergeCell ref="A4:E4"/>
    <mergeCell ref="A5:E5"/>
  </mergeCells>
  <hyperlinks>
    <hyperlink ref="A1" location="'13.2.4'!A1" display="LUVA SOLDAVEL E COM BUCHA DE LATAO,COM DIAMETRO DE 25MMX3/4&amp;quot; .FORNECIMENTO" xr:uid="{00000000-0004-0000-3700-000000000000}"/>
    <hyperlink ref="B1" location="'13.2.4'!A1" display="LUVA SOLDAVEL E COM BUCHA DE LATAO,COM DIAMETRO DE 25MMX3/4&amp;quot; .FORNECIMENTO" xr:uid="{00000000-0004-0000-3700-000001000000}"/>
    <hyperlink ref="C1" location="'13.2.4'!A1" display="LUVA SOLDAVEL E COM BUCHA DE LATAO,COM DIAMETRO DE 25MMX3/4&amp;quot; .FORNECIMENTO" xr:uid="{00000000-0004-0000-3700-000002000000}"/>
    <hyperlink ref="D1" location="'13.2.4'!A1" display="LUVA SOLDAVEL E COM BUCHA DE LATAO,COM DIAMETRO DE 25MMX3/4&amp;quot; .FORNECIMENTO" xr:uid="{00000000-0004-0000-3700-000003000000}"/>
    <hyperlink ref="E1" location="'13.2.4'!A1" display="LUVA SOLDAVEL E COM BUCHA DE LATAO,COM DIAMETRO DE 25MMX3/4&amp;quot; .FORNECIMENTO" xr:uid="{00000000-0004-0000-3700-000004000000}"/>
    <hyperlink ref="A2" location="'13.2.4'!A1" display="LUVA SOLDAVEL E COM BUCHA DE LATAO,COM DIAMETRO DE 25MMX3/4&amp;quot; .FORNECIMENTO" xr:uid="{00000000-0004-0000-3700-000005000000}"/>
    <hyperlink ref="B2" location="'13.2.4'!A1" display="LUVA SOLDAVEL E COM BUCHA DE LATAO,COM DIAMETRO DE 25MMX3/4&amp;quot; .FORNECIMENTO" xr:uid="{00000000-0004-0000-3700-000006000000}"/>
    <hyperlink ref="C2" location="'13.2.4'!A1" display="LUVA SOLDAVEL E COM BUCHA DE LATAO,COM DIAMETRO DE 25MMX3/4&amp;quot; .FORNECIMENTO" xr:uid="{00000000-0004-0000-3700-000007000000}"/>
    <hyperlink ref="D2" location="'13.2.4'!A1" display="LUVA SOLDAVEL E COM BUCHA DE LATAO,COM DIAMETRO DE 25MMX3/4&amp;quot; .FORNECIMENTO" xr:uid="{00000000-0004-0000-3700-000008000000}"/>
    <hyperlink ref="E2" location="'13.2.4'!A1" display="LUVA SOLDAVEL E COM BUCHA DE LATAO,COM DIAMETRO DE 25MMX3/4&amp;quot; .FORNECIMENTO" xr:uid="{00000000-0004-0000-3700-000009000000}"/>
    <hyperlink ref="A4" location="'13.2.4'!A1" display="Conexões de tubo (Afastamento)" xr:uid="{00000000-0004-0000-3700-00000A000000}"/>
    <hyperlink ref="B4" location="'13.2.4'!A1" display="Conexões de tubo (Afastamento)" xr:uid="{00000000-0004-0000-3700-00000B000000}"/>
    <hyperlink ref="C4" location="'13.2.4'!A1" display="Conexões de tubo (Afastamento)" xr:uid="{00000000-0004-0000-3700-00000C000000}"/>
    <hyperlink ref="D4" location="'13.2.4'!A1" display="Conexões de tubo (Afastamento)" xr:uid="{00000000-0004-0000-3700-00000D000000}"/>
    <hyperlink ref="E4" location="'13.2.4'!A1" display="Conexões de tubo (Afastamento)" xr:uid="{00000000-0004-0000-3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E1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33</v>
      </c>
      <c r="B1" s="23" t="s">
        <v>33</v>
      </c>
      <c r="C1" s="23" t="s">
        <v>33</v>
      </c>
      <c r="D1" s="23" t="s">
        <v>33</v>
      </c>
      <c r="E1" s="23" t="s">
        <v>33</v>
      </c>
    </row>
    <row r="2" spans="1:5">
      <c r="A2" s="23" t="s">
        <v>33</v>
      </c>
      <c r="B2" s="23" t="s">
        <v>33</v>
      </c>
      <c r="C2" s="23" t="s">
        <v>33</v>
      </c>
      <c r="D2" s="23" t="s">
        <v>33</v>
      </c>
      <c r="E2" s="23" t="s">
        <v>33</v>
      </c>
    </row>
    <row r="4" spans="1:5">
      <c r="A4" s="18" t="s">
        <v>206</v>
      </c>
      <c r="B4" s="18" t="s">
        <v>206</v>
      </c>
      <c r="C4" s="18" t="s">
        <v>206</v>
      </c>
      <c r="D4" s="18" t="s">
        <v>206</v>
      </c>
      <c r="E4" s="18" t="s">
        <v>206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409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410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411</v>
      </c>
      <c r="E9" s="11">
        <v>1</v>
      </c>
    </row>
    <row r="10" spans="1:5">
      <c r="A10" s="1" t="s">
        <v>207</v>
      </c>
      <c r="B10" s="1" t="s">
        <v>207</v>
      </c>
      <c r="C10" s="1">
        <f>SUBTOTAL(103,Elements13251[Elemento])</f>
        <v>3</v>
      </c>
      <c r="D10" s="1" t="s">
        <v>207</v>
      </c>
      <c r="E10" s="1">
        <f>SUBTOTAL(109,Elements13251[Totais:])</f>
        <v>3</v>
      </c>
    </row>
  </sheetData>
  <mergeCells count="3">
    <mergeCell ref="A1:E2"/>
    <mergeCell ref="A4:E4"/>
    <mergeCell ref="A5:E5"/>
  </mergeCells>
  <hyperlinks>
    <hyperlink ref="A1" location="'13.2.5'!A1" display="LUVA DE REDUÇÃO, PVC, SOLDÁVEL, DN 50MM X 25MM, INSTALADO EM PRUMADA DE ÁGUA   FORNECIMENTO E INSTALAÇÃO. AF_06/2022" xr:uid="{00000000-0004-0000-3800-000000000000}"/>
    <hyperlink ref="B1" location="'13.2.5'!A1" display="LUVA DE REDUÇÃO, PVC, SOLDÁVEL, DN 50MM X 25MM, INSTALADO EM PRUMADA DE ÁGUA   FORNECIMENTO E INSTALAÇÃO. AF_06/2022" xr:uid="{00000000-0004-0000-3800-000001000000}"/>
    <hyperlink ref="C1" location="'13.2.5'!A1" display="LUVA DE REDUÇÃO, PVC, SOLDÁVEL, DN 50MM X 25MM, INSTALADO EM PRUMADA DE ÁGUA   FORNECIMENTO E INSTALAÇÃO. AF_06/2022" xr:uid="{00000000-0004-0000-3800-000002000000}"/>
    <hyperlink ref="D1" location="'13.2.5'!A1" display="LUVA DE REDUÇÃO, PVC, SOLDÁVEL, DN 50MM X 25MM, INSTALADO EM PRUMADA DE ÁGUA   FORNECIMENTO E INSTALAÇÃO. AF_06/2022" xr:uid="{00000000-0004-0000-3800-000003000000}"/>
    <hyperlink ref="E1" location="'13.2.5'!A1" display="LUVA DE REDUÇÃO, PVC, SOLDÁVEL, DN 50MM X 25MM, INSTALADO EM PRUMADA DE ÁGUA   FORNECIMENTO E INSTALAÇÃO. AF_06/2022" xr:uid="{00000000-0004-0000-3800-000004000000}"/>
    <hyperlink ref="A2" location="'13.2.5'!A1" display="LUVA DE REDUÇÃO, PVC, SOLDÁVEL, DN 50MM X 25MM, INSTALADO EM PRUMADA DE ÁGUA   FORNECIMENTO E INSTALAÇÃO. AF_06/2022" xr:uid="{00000000-0004-0000-3800-000005000000}"/>
    <hyperlink ref="B2" location="'13.2.5'!A1" display="LUVA DE REDUÇÃO, PVC, SOLDÁVEL, DN 50MM X 25MM, INSTALADO EM PRUMADA DE ÁGUA   FORNECIMENTO E INSTALAÇÃO. AF_06/2022" xr:uid="{00000000-0004-0000-3800-000006000000}"/>
    <hyperlink ref="C2" location="'13.2.5'!A1" display="LUVA DE REDUÇÃO, PVC, SOLDÁVEL, DN 50MM X 25MM, INSTALADO EM PRUMADA DE ÁGUA   FORNECIMENTO E INSTALAÇÃO. AF_06/2022" xr:uid="{00000000-0004-0000-3800-000007000000}"/>
    <hyperlink ref="D2" location="'13.2.5'!A1" display="LUVA DE REDUÇÃO, PVC, SOLDÁVEL, DN 50MM X 25MM, INSTALADO EM PRUMADA DE ÁGUA   FORNECIMENTO E INSTALAÇÃO. AF_06/2022" xr:uid="{00000000-0004-0000-3800-000008000000}"/>
    <hyperlink ref="E2" location="'13.2.5'!A1" display="LUVA DE REDUÇÃO, PVC, SOLDÁVEL, DN 50MM X 25MM, INSTALADO EM PRUMADA DE ÁGUA   FORNECIMENTO E INSTALAÇÃO. AF_06/2022" xr:uid="{00000000-0004-0000-3800-000009000000}"/>
    <hyperlink ref="A4" location="'13.2.5'!A1" display="Conexões de tubo (Afastamento)" xr:uid="{00000000-0004-0000-3800-00000A000000}"/>
    <hyperlink ref="B4" location="'13.2.5'!A1" display="Conexões de tubo (Afastamento)" xr:uid="{00000000-0004-0000-3800-00000B000000}"/>
    <hyperlink ref="C4" location="'13.2.5'!A1" display="Conexões de tubo (Afastamento)" xr:uid="{00000000-0004-0000-3800-00000C000000}"/>
    <hyperlink ref="D4" location="'13.2.5'!A1" display="Conexões de tubo (Afastamento)" xr:uid="{00000000-0004-0000-3800-00000D000000}"/>
    <hyperlink ref="E4" location="'13.2.5'!A1" display="Conexões de tubo (Afastamento)" xr:uid="{00000000-0004-0000-38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E132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37</v>
      </c>
      <c r="B1" s="23" t="s">
        <v>37</v>
      </c>
      <c r="C1" s="23" t="s">
        <v>37</v>
      </c>
      <c r="D1" s="23" t="s">
        <v>37</v>
      </c>
      <c r="E1" s="23" t="s">
        <v>37</v>
      </c>
    </row>
    <row r="2" spans="1:5">
      <c r="A2" s="23" t="s">
        <v>37</v>
      </c>
      <c r="B2" s="23" t="s">
        <v>37</v>
      </c>
      <c r="C2" s="23" t="s">
        <v>37</v>
      </c>
      <c r="D2" s="23" t="s">
        <v>37</v>
      </c>
      <c r="E2" s="23" t="s">
        <v>37</v>
      </c>
    </row>
    <row r="4" spans="1:5">
      <c r="A4" s="18" t="s">
        <v>239</v>
      </c>
      <c r="B4" s="18" t="s">
        <v>239</v>
      </c>
      <c r="C4" s="18" t="s">
        <v>239</v>
      </c>
      <c r="D4" s="18" t="s">
        <v>239</v>
      </c>
      <c r="E4" s="18" t="s">
        <v>239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242</v>
      </c>
      <c r="D7" s="11" t="s">
        <v>412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242</v>
      </c>
      <c r="D8" s="11" t="s">
        <v>413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242</v>
      </c>
      <c r="D9" s="11" t="s">
        <v>414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242</v>
      </c>
      <c r="D10" s="11" t="s">
        <v>415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242</v>
      </c>
      <c r="D11" s="11" t="s">
        <v>416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242</v>
      </c>
      <c r="D12" s="11" t="s">
        <v>417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242</v>
      </c>
      <c r="D13" s="11" t="s">
        <v>418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242</v>
      </c>
      <c r="D14" s="11" t="s">
        <v>419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242</v>
      </c>
      <c r="D15" s="11" t="s">
        <v>420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242</v>
      </c>
      <c r="D16" s="11" t="s">
        <v>421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242</v>
      </c>
      <c r="D17" s="11" t="s">
        <v>422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242</v>
      </c>
      <c r="D18" s="11" t="s">
        <v>423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242</v>
      </c>
      <c r="D19" s="11" t="s">
        <v>424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242</v>
      </c>
      <c r="D20" s="11" t="s">
        <v>425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242</v>
      </c>
      <c r="D21" s="11" t="s">
        <v>426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242</v>
      </c>
      <c r="D22" s="11" t="s">
        <v>427</v>
      </c>
      <c r="E22" s="11">
        <v>1</v>
      </c>
    </row>
    <row r="23" spans="1:5" ht="24.75">
      <c r="A23" s="11" t="s">
        <v>363</v>
      </c>
      <c r="B23" s="11" t="s">
        <v>233</v>
      </c>
      <c r="C23" s="11" t="s">
        <v>242</v>
      </c>
      <c r="D23" s="11" t="s">
        <v>428</v>
      </c>
      <c r="E23" s="11">
        <v>1</v>
      </c>
    </row>
    <row r="24" spans="1:5" ht="24.75">
      <c r="A24" s="11" t="s">
        <v>363</v>
      </c>
      <c r="B24" s="11" t="s">
        <v>233</v>
      </c>
      <c r="C24" s="11" t="s">
        <v>242</v>
      </c>
      <c r="D24" s="11" t="s">
        <v>429</v>
      </c>
      <c r="E24" s="11">
        <v>1</v>
      </c>
    </row>
    <row r="25" spans="1:5" ht="24.75">
      <c r="A25" s="11" t="s">
        <v>363</v>
      </c>
      <c r="B25" s="11" t="s">
        <v>233</v>
      </c>
      <c r="C25" s="11" t="s">
        <v>242</v>
      </c>
      <c r="D25" s="11" t="s">
        <v>430</v>
      </c>
      <c r="E25" s="11">
        <v>1</v>
      </c>
    </row>
    <row r="26" spans="1:5" ht="24.75">
      <c r="A26" s="11" t="s">
        <v>363</v>
      </c>
      <c r="B26" s="11" t="s">
        <v>233</v>
      </c>
      <c r="C26" s="11" t="s">
        <v>242</v>
      </c>
      <c r="D26" s="11" t="s">
        <v>431</v>
      </c>
      <c r="E26" s="11">
        <v>1</v>
      </c>
    </row>
    <row r="27" spans="1:5" ht="24.75">
      <c r="A27" s="11" t="s">
        <v>363</v>
      </c>
      <c r="B27" s="11" t="s">
        <v>233</v>
      </c>
      <c r="C27" s="11" t="s">
        <v>242</v>
      </c>
      <c r="D27" s="11" t="s">
        <v>432</v>
      </c>
      <c r="E27" s="11">
        <v>1</v>
      </c>
    </row>
    <row r="28" spans="1:5" ht="24.75">
      <c r="A28" s="11" t="s">
        <v>363</v>
      </c>
      <c r="B28" s="11" t="s">
        <v>233</v>
      </c>
      <c r="C28" s="11" t="s">
        <v>242</v>
      </c>
      <c r="D28" s="11" t="s">
        <v>433</v>
      </c>
      <c r="E28" s="11">
        <v>1</v>
      </c>
    </row>
    <row r="29" spans="1:5" ht="24.75">
      <c r="A29" s="11" t="s">
        <v>363</v>
      </c>
      <c r="B29" s="11" t="s">
        <v>233</v>
      </c>
      <c r="C29" s="11" t="s">
        <v>242</v>
      </c>
      <c r="D29" s="11" t="s">
        <v>434</v>
      </c>
      <c r="E29" s="11">
        <v>1</v>
      </c>
    </row>
    <row r="30" spans="1:5" ht="24.75">
      <c r="A30" s="11" t="s">
        <v>363</v>
      </c>
      <c r="B30" s="11" t="s">
        <v>233</v>
      </c>
      <c r="C30" s="11" t="s">
        <v>242</v>
      </c>
      <c r="D30" s="11" t="s">
        <v>435</v>
      </c>
      <c r="E30" s="11">
        <v>1</v>
      </c>
    </row>
    <row r="31" spans="1:5" ht="24.75">
      <c r="A31" s="11" t="s">
        <v>363</v>
      </c>
      <c r="B31" s="11" t="s">
        <v>233</v>
      </c>
      <c r="C31" s="11" t="s">
        <v>242</v>
      </c>
      <c r="D31" s="11" t="s">
        <v>436</v>
      </c>
      <c r="E31" s="11">
        <v>1</v>
      </c>
    </row>
    <row r="32" spans="1:5" ht="24.75">
      <c r="A32" s="11" t="s">
        <v>363</v>
      </c>
      <c r="B32" s="11" t="s">
        <v>233</v>
      </c>
      <c r="C32" s="11" t="s">
        <v>242</v>
      </c>
      <c r="D32" s="11" t="s">
        <v>437</v>
      </c>
      <c r="E32" s="11">
        <v>1</v>
      </c>
    </row>
    <row r="33" spans="1:5" ht="24.75">
      <c r="A33" s="11" t="s">
        <v>363</v>
      </c>
      <c r="B33" s="11" t="s">
        <v>233</v>
      </c>
      <c r="C33" s="11" t="s">
        <v>242</v>
      </c>
      <c r="D33" s="11" t="s">
        <v>438</v>
      </c>
      <c r="E33" s="11">
        <v>1</v>
      </c>
    </row>
    <row r="34" spans="1:5" ht="24.75">
      <c r="A34" s="11" t="s">
        <v>363</v>
      </c>
      <c r="B34" s="11" t="s">
        <v>233</v>
      </c>
      <c r="C34" s="11" t="s">
        <v>242</v>
      </c>
      <c r="D34" s="11" t="s">
        <v>439</v>
      </c>
      <c r="E34" s="11">
        <v>1</v>
      </c>
    </row>
    <row r="35" spans="1:5" ht="24.75">
      <c r="A35" s="11" t="s">
        <v>363</v>
      </c>
      <c r="B35" s="11" t="s">
        <v>233</v>
      </c>
      <c r="C35" s="11" t="s">
        <v>242</v>
      </c>
      <c r="D35" s="11" t="s">
        <v>440</v>
      </c>
      <c r="E35" s="11">
        <v>1</v>
      </c>
    </row>
    <row r="36" spans="1:5" ht="24.75">
      <c r="A36" s="11" t="s">
        <v>363</v>
      </c>
      <c r="B36" s="11" t="s">
        <v>233</v>
      </c>
      <c r="C36" s="11" t="s">
        <v>242</v>
      </c>
      <c r="D36" s="11" t="s">
        <v>441</v>
      </c>
      <c r="E36" s="11">
        <v>1</v>
      </c>
    </row>
    <row r="37" spans="1:5" ht="24.75">
      <c r="A37" s="11" t="s">
        <v>363</v>
      </c>
      <c r="B37" s="11" t="s">
        <v>233</v>
      </c>
      <c r="C37" s="11" t="s">
        <v>242</v>
      </c>
      <c r="D37" s="11" t="s">
        <v>442</v>
      </c>
      <c r="E37" s="11">
        <v>1</v>
      </c>
    </row>
    <row r="38" spans="1:5" ht="24.75">
      <c r="A38" s="11" t="s">
        <v>363</v>
      </c>
      <c r="B38" s="11" t="s">
        <v>233</v>
      </c>
      <c r="C38" s="11" t="s">
        <v>242</v>
      </c>
      <c r="D38" s="11" t="s">
        <v>443</v>
      </c>
      <c r="E38" s="11">
        <v>1</v>
      </c>
    </row>
    <row r="39" spans="1:5" ht="24.75">
      <c r="A39" s="11" t="s">
        <v>363</v>
      </c>
      <c r="B39" s="11" t="s">
        <v>233</v>
      </c>
      <c r="C39" s="11" t="s">
        <v>242</v>
      </c>
      <c r="D39" s="11" t="s">
        <v>444</v>
      </c>
      <c r="E39" s="11">
        <v>1</v>
      </c>
    </row>
    <row r="40" spans="1:5" ht="24.75">
      <c r="A40" s="11" t="s">
        <v>363</v>
      </c>
      <c r="B40" s="11" t="s">
        <v>233</v>
      </c>
      <c r="C40" s="11" t="s">
        <v>242</v>
      </c>
      <c r="D40" s="11" t="s">
        <v>445</v>
      </c>
      <c r="E40" s="11">
        <v>1</v>
      </c>
    </row>
    <row r="41" spans="1:5" ht="24.75">
      <c r="A41" s="11" t="s">
        <v>363</v>
      </c>
      <c r="B41" s="11" t="s">
        <v>233</v>
      </c>
      <c r="C41" s="11" t="s">
        <v>242</v>
      </c>
      <c r="D41" s="11" t="s">
        <v>446</v>
      </c>
      <c r="E41" s="11">
        <v>1</v>
      </c>
    </row>
    <row r="42" spans="1:5" ht="24.75">
      <c r="A42" s="11" t="s">
        <v>363</v>
      </c>
      <c r="B42" s="11" t="s">
        <v>233</v>
      </c>
      <c r="C42" s="11" t="s">
        <v>242</v>
      </c>
      <c r="D42" s="11" t="s">
        <v>447</v>
      </c>
      <c r="E42" s="11">
        <v>1</v>
      </c>
    </row>
    <row r="43" spans="1:5" ht="24.75">
      <c r="A43" s="11" t="s">
        <v>363</v>
      </c>
      <c r="B43" s="11" t="s">
        <v>233</v>
      </c>
      <c r="C43" s="11" t="s">
        <v>242</v>
      </c>
      <c r="D43" s="11" t="s">
        <v>448</v>
      </c>
      <c r="E43" s="11">
        <v>1</v>
      </c>
    </row>
    <row r="44" spans="1:5" ht="24.75">
      <c r="A44" s="11" t="s">
        <v>363</v>
      </c>
      <c r="B44" s="11" t="s">
        <v>233</v>
      </c>
      <c r="C44" s="11" t="s">
        <v>242</v>
      </c>
      <c r="D44" s="11" t="s">
        <v>449</v>
      </c>
      <c r="E44" s="11">
        <v>1</v>
      </c>
    </row>
    <row r="45" spans="1:5" ht="24.75">
      <c r="A45" s="11" t="s">
        <v>363</v>
      </c>
      <c r="B45" s="11" t="s">
        <v>233</v>
      </c>
      <c r="C45" s="11" t="s">
        <v>242</v>
      </c>
      <c r="D45" s="11" t="s">
        <v>450</v>
      </c>
      <c r="E45" s="11">
        <v>1</v>
      </c>
    </row>
    <row r="46" spans="1:5" ht="24.75">
      <c r="A46" s="11" t="s">
        <v>363</v>
      </c>
      <c r="B46" s="11" t="s">
        <v>233</v>
      </c>
      <c r="C46" s="11" t="s">
        <v>242</v>
      </c>
      <c r="D46" s="11" t="s">
        <v>451</v>
      </c>
      <c r="E46" s="11">
        <v>1</v>
      </c>
    </row>
    <row r="47" spans="1:5" ht="24.75">
      <c r="A47" s="11" t="s">
        <v>363</v>
      </c>
      <c r="B47" s="11" t="s">
        <v>233</v>
      </c>
      <c r="C47" s="11" t="s">
        <v>242</v>
      </c>
      <c r="D47" s="11" t="s">
        <v>452</v>
      </c>
      <c r="E47" s="11">
        <v>1</v>
      </c>
    </row>
    <row r="48" spans="1:5" ht="24.75">
      <c r="A48" s="11" t="s">
        <v>363</v>
      </c>
      <c r="B48" s="11" t="s">
        <v>233</v>
      </c>
      <c r="C48" s="11" t="s">
        <v>242</v>
      </c>
      <c r="D48" s="11" t="s">
        <v>453</v>
      </c>
      <c r="E48" s="11">
        <v>1</v>
      </c>
    </row>
    <row r="49" spans="1:5" ht="24.75">
      <c r="A49" s="11" t="s">
        <v>363</v>
      </c>
      <c r="B49" s="11" t="s">
        <v>233</v>
      </c>
      <c r="C49" s="11" t="s">
        <v>242</v>
      </c>
      <c r="D49" s="11" t="s">
        <v>454</v>
      </c>
      <c r="E49" s="11">
        <v>1</v>
      </c>
    </row>
    <row r="50" spans="1:5" ht="24.75">
      <c r="A50" s="11" t="s">
        <v>363</v>
      </c>
      <c r="B50" s="11" t="s">
        <v>233</v>
      </c>
      <c r="C50" s="11" t="s">
        <v>242</v>
      </c>
      <c r="D50" s="11" t="s">
        <v>455</v>
      </c>
      <c r="E50" s="11">
        <v>1</v>
      </c>
    </row>
    <row r="51" spans="1:5" ht="24.75">
      <c r="A51" s="11" t="s">
        <v>363</v>
      </c>
      <c r="B51" s="11" t="s">
        <v>233</v>
      </c>
      <c r="C51" s="11" t="s">
        <v>242</v>
      </c>
      <c r="D51" s="11" t="s">
        <v>456</v>
      </c>
      <c r="E51" s="11">
        <v>1</v>
      </c>
    </row>
    <row r="52" spans="1:5" ht="24.75">
      <c r="A52" s="11" t="s">
        <v>363</v>
      </c>
      <c r="B52" s="11" t="s">
        <v>233</v>
      </c>
      <c r="C52" s="11" t="s">
        <v>242</v>
      </c>
      <c r="D52" s="11" t="s">
        <v>457</v>
      </c>
      <c r="E52" s="11">
        <v>1</v>
      </c>
    </row>
    <row r="53" spans="1:5" ht="24.75">
      <c r="A53" s="11" t="s">
        <v>363</v>
      </c>
      <c r="B53" s="11" t="s">
        <v>233</v>
      </c>
      <c r="C53" s="11" t="s">
        <v>242</v>
      </c>
      <c r="D53" s="11" t="s">
        <v>458</v>
      </c>
      <c r="E53" s="11">
        <v>1</v>
      </c>
    </row>
    <row r="54" spans="1:5" ht="24.75">
      <c r="A54" s="11" t="s">
        <v>363</v>
      </c>
      <c r="B54" s="11" t="s">
        <v>233</v>
      </c>
      <c r="C54" s="11" t="s">
        <v>242</v>
      </c>
      <c r="D54" s="11" t="s">
        <v>459</v>
      </c>
      <c r="E54" s="11">
        <v>1</v>
      </c>
    </row>
    <row r="55" spans="1:5" ht="24.75">
      <c r="A55" s="11" t="s">
        <v>363</v>
      </c>
      <c r="B55" s="11" t="s">
        <v>233</v>
      </c>
      <c r="C55" s="11" t="s">
        <v>242</v>
      </c>
      <c r="D55" s="11" t="s">
        <v>460</v>
      </c>
      <c r="E55" s="11">
        <v>1</v>
      </c>
    </row>
    <row r="56" spans="1:5" ht="24.75">
      <c r="A56" s="11" t="s">
        <v>363</v>
      </c>
      <c r="B56" s="11" t="s">
        <v>233</v>
      </c>
      <c r="C56" s="11" t="s">
        <v>242</v>
      </c>
      <c r="D56" s="11" t="s">
        <v>461</v>
      </c>
      <c r="E56" s="11">
        <v>1</v>
      </c>
    </row>
    <row r="57" spans="1:5" ht="24.75">
      <c r="A57" s="11" t="s">
        <v>363</v>
      </c>
      <c r="B57" s="11" t="s">
        <v>233</v>
      </c>
      <c r="C57" s="11" t="s">
        <v>242</v>
      </c>
      <c r="D57" s="11" t="s">
        <v>462</v>
      </c>
      <c r="E57" s="11">
        <v>1</v>
      </c>
    </row>
    <row r="58" spans="1:5" ht="24.75">
      <c r="A58" s="11" t="s">
        <v>363</v>
      </c>
      <c r="B58" s="11" t="s">
        <v>233</v>
      </c>
      <c r="C58" s="11" t="s">
        <v>242</v>
      </c>
      <c r="D58" s="11" t="s">
        <v>463</v>
      </c>
      <c r="E58" s="11">
        <v>1</v>
      </c>
    </row>
    <row r="59" spans="1:5" ht="24.75">
      <c r="A59" s="11" t="s">
        <v>363</v>
      </c>
      <c r="B59" s="11" t="s">
        <v>233</v>
      </c>
      <c r="C59" s="11" t="s">
        <v>242</v>
      </c>
      <c r="D59" s="11" t="s">
        <v>464</v>
      </c>
      <c r="E59" s="11">
        <v>1</v>
      </c>
    </row>
    <row r="60" spans="1:5" ht="24.75">
      <c r="A60" s="11" t="s">
        <v>363</v>
      </c>
      <c r="B60" s="11" t="s">
        <v>233</v>
      </c>
      <c r="C60" s="11" t="s">
        <v>242</v>
      </c>
      <c r="D60" s="11" t="s">
        <v>465</v>
      </c>
      <c r="E60" s="11">
        <v>1</v>
      </c>
    </row>
    <row r="61" spans="1:5" ht="24.75">
      <c r="A61" s="11" t="s">
        <v>363</v>
      </c>
      <c r="B61" s="11" t="s">
        <v>233</v>
      </c>
      <c r="C61" s="11" t="s">
        <v>242</v>
      </c>
      <c r="D61" s="11" t="s">
        <v>466</v>
      </c>
      <c r="E61" s="11">
        <v>1</v>
      </c>
    </row>
    <row r="62" spans="1:5" ht="24.75">
      <c r="A62" s="11" t="s">
        <v>363</v>
      </c>
      <c r="B62" s="11" t="s">
        <v>233</v>
      </c>
      <c r="C62" s="11" t="s">
        <v>242</v>
      </c>
      <c r="D62" s="11" t="s">
        <v>467</v>
      </c>
      <c r="E62" s="11">
        <v>1</v>
      </c>
    </row>
    <row r="63" spans="1:5" ht="24.75">
      <c r="A63" s="11" t="s">
        <v>363</v>
      </c>
      <c r="B63" s="11" t="s">
        <v>233</v>
      </c>
      <c r="C63" s="11" t="s">
        <v>242</v>
      </c>
      <c r="D63" s="11" t="s">
        <v>468</v>
      </c>
      <c r="E63" s="11">
        <v>1</v>
      </c>
    </row>
    <row r="64" spans="1:5" ht="24.75">
      <c r="A64" s="11" t="s">
        <v>363</v>
      </c>
      <c r="B64" s="11" t="s">
        <v>233</v>
      </c>
      <c r="C64" s="11" t="s">
        <v>242</v>
      </c>
      <c r="D64" s="11" t="s">
        <v>469</v>
      </c>
      <c r="E64" s="11">
        <v>1</v>
      </c>
    </row>
    <row r="65" spans="1:5" ht="24.75">
      <c r="A65" s="11" t="s">
        <v>363</v>
      </c>
      <c r="B65" s="11" t="s">
        <v>233</v>
      </c>
      <c r="C65" s="11" t="s">
        <v>242</v>
      </c>
      <c r="D65" s="11" t="s">
        <v>470</v>
      </c>
      <c r="E65" s="11">
        <v>1</v>
      </c>
    </row>
    <row r="66" spans="1:5" ht="24.75">
      <c r="A66" s="11" t="s">
        <v>363</v>
      </c>
      <c r="B66" s="11" t="s">
        <v>233</v>
      </c>
      <c r="C66" s="11" t="s">
        <v>242</v>
      </c>
      <c r="D66" s="11" t="s">
        <v>471</v>
      </c>
      <c r="E66" s="11">
        <v>1</v>
      </c>
    </row>
    <row r="67" spans="1:5" ht="24.75">
      <c r="A67" s="11" t="s">
        <v>363</v>
      </c>
      <c r="B67" s="11" t="s">
        <v>233</v>
      </c>
      <c r="C67" s="11" t="s">
        <v>242</v>
      </c>
      <c r="D67" s="11" t="s">
        <v>472</v>
      </c>
      <c r="E67" s="11">
        <v>1</v>
      </c>
    </row>
    <row r="68" spans="1:5" ht="24.75">
      <c r="A68" s="11" t="s">
        <v>363</v>
      </c>
      <c r="B68" s="11" t="s">
        <v>233</v>
      </c>
      <c r="C68" s="11" t="s">
        <v>242</v>
      </c>
      <c r="D68" s="11" t="s">
        <v>473</v>
      </c>
      <c r="E68" s="11">
        <v>1</v>
      </c>
    </row>
    <row r="69" spans="1:5" ht="24.75">
      <c r="A69" s="11" t="s">
        <v>363</v>
      </c>
      <c r="B69" s="11" t="s">
        <v>233</v>
      </c>
      <c r="C69" s="11" t="s">
        <v>242</v>
      </c>
      <c r="D69" s="11" t="s">
        <v>474</v>
      </c>
      <c r="E69" s="11">
        <v>1</v>
      </c>
    </row>
    <row r="70" spans="1:5" ht="24.75">
      <c r="A70" s="11" t="s">
        <v>363</v>
      </c>
      <c r="B70" s="11" t="s">
        <v>233</v>
      </c>
      <c r="C70" s="11" t="s">
        <v>242</v>
      </c>
      <c r="D70" s="11" t="s">
        <v>475</v>
      </c>
      <c r="E70" s="11">
        <v>1</v>
      </c>
    </row>
    <row r="71" spans="1:5" ht="24.75">
      <c r="A71" s="11" t="s">
        <v>363</v>
      </c>
      <c r="B71" s="11" t="s">
        <v>233</v>
      </c>
      <c r="C71" s="11" t="s">
        <v>242</v>
      </c>
      <c r="D71" s="11" t="s">
        <v>476</v>
      </c>
      <c r="E71" s="11">
        <v>1</v>
      </c>
    </row>
    <row r="72" spans="1:5" ht="24.75">
      <c r="A72" s="11" t="s">
        <v>363</v>
      </c>
      <c r="B72" s="11" t="s">
        <v>233</v>
      </c>
      <c r="C72" s="11" t="s">
        <v>242</v>
      </c>
      <c r="D72" s="11" t="s">
        <v>477</v>
      </c>
      <c r="E72" s="11">
        <v>1</v>
      </c>
    </row>
    <row r="73" spans="1:5" ht="24.75">
      <c r="A73" s="11" t="s">
        <v>363</v>
      </c>
      <c r="B73" s="11" t="s">
        <v>233</v>
      </c>
      <c r="C73" s="11" t="s">
        <v>242</v>
      </c>
      <c r="D73" s="11" t="s">
        <v>478</v>
      </c>
      <c r="E73" s="11">
        <v>1</v>
      </c>
    </row>
    <row r="74" spans="1:5" ht="24.75">
      <c r="A74" s="11" t="s">
        <v>363</v>
      </c>
      <c r="B74" s="11" t="s">
        <v>233</v>
      </c>
      <c r="C74" s="11" t="s">
        <v>242</v>
      </c>
      <c r="D74" s="11" t="s">
        <v>479</v>
      </c>
      <c r="E74" s="11">
        <v>1</v>
      </c>
    </row>
    <row r="75" spans="1:5" ht="24.75">
      <c r="A75" s="11" t="s">
        <v>363</v>
      </c>
      <c r="B75" s="11" t="s">
        <v>233</v>
      </c>
      <c r="C75" s="11" t="s">
        <v>242</v>
      </c>
      <c r="D75" s="11" t="s">
        <v>480</v>
      </c>
      <c r="E75" s="11">
        <v>1</v>
      </c>
    </row>
    <row r="76" spans="1:5" ht="24.75">
      <c r="A76" s="11" t="s">
        <v>363</v>
      </c>
      <c r="B76" s="11" t="s">
        <v>233</v>
      </c>
      <c r="C76" s="11" t="s">
        <v>242</v>
      </c>
      <c r="D76" s="11" t="s">
        <v>481</v>
      </c>
      <c r="E76" s="11">
        <v>1</v>
      </c>
    </row>
    <row r="77" spans="1:5" ht="24.75">
      <c r="A77" s="11" t="s">
        <v>363</v>
      </c>
      <c r="B77" s="11" t="s">
        <v>233</v>
      </c>
      <c r="C77" s="11" t="s">
        <v>242</v>
      </c>
      <c r="D77" s="11" t="s">
        <v>482</v>
      </c>
      <c r="E77" s="11">
        <v>1</v>
      </c>
    </row>
    <row r="78" spans="1:5" ht="24.75">
      <c r="A78" s="11" t="s">
        <v>363</v>
      </c>
      <c r="B78" s="11" t="s">
        <v>233</v>
      </c>
      <c r="C78" s="11" t="s">
        <v>242</v>
      </c>
      <c r="D78" s="11" t="s">
        <v>483</v>
      </c>
      <c r="E78" s="11">
        <v>1</v>
      </c>
    </row>
    <row r="79" spans="1:5" ht="24.75">
      <c r="A79" s="11" t="s">
        <v>363</v>
      </c>
      <c r="B79" s="11" t="s">
        <v>233</v>
      </c>
      <c r="C79" s="11" t="s">
        <v>242</v>
      </c>
      <c r="D79" s="11" t="s">
        <v>484</v>
      </c>
      <c r="E79" s="11">
        <v>1</v>
      </c>
    </row>
    <row r="80" spans="1:5" ht="24.75">
      <c r="A80" s="11" t="s">
        <v>363</v>
      </c>
      <c r="B80" s="11" t="s">
        <v>233</v>
      </c>
      <c r="C80" s="11" t="s">
        <v>242</v>
      </c>
      <c r="D80" s="11" t="s">
        <v>485</v>
      </c>
      <c r="E80" s="11">
        <v>1</v>
      </c>
    </row>
    <row r="81" spans="1:5" ht="24.75">
      <c r="A81" s="11" t="s">
        <v>363</v>
      </c>
      <c r="B81" s="11" t="s">
        <v>233</v>
      </c>
      <c r="C81" s="11" t="s">
        <v>242</v>
      </c>
      <c r="D81" s="11" t="s">
        <v>486</v>
      </c>
      <c r="E81" s="11">
        <v>1</v>
      </c>
    </row>
    <row r="82" spans="1:5" ht="24.75">
      <c r="A82" s="11" t="s">
        <v>363</v>
      </c>
      <c r="B82" s="11" t="s">
        <v>233</v>
      </c>
      <c r="C82" s="11" t="s">
        <v>242</v>
      </c>
      <c r="D82" s="11" t="s">
        <v>487</v>
      </c>
      <c r="E82" s="11">
        <v>1</v>
      </c>
    </row>
    <row r="83" spans="1:5" ht="24.75">
      <c r="A83" s="11" t="s">
        <v>363</v>
      </c>
      <c r="B83" s="11" t="s">
        <v>233</v>
      </c>
      <c r="C83" s="11" t="s">
        <v>242</v>
      </c>
      <c r="D83" s="11" t="s">
        <v>488</v>
      </c>
      <c r="E83" s="11">
        <v>1</v>
      </c>
    </row>
    <row r="84" spans="1:5" ht="24.75">
      <c r="A84" s="11" t="s">
        <v>363</v>
      </c>
      <c r="B84" s="11" t="s">
        <v>233</v>
      </c>
      <c r="C84" s="11" t="s">
        <v>242</v>
      </c>
      <c r="D84" s="11" t="s">
        <v>489</v>
      </c>
      <c r="E84" s="11">
        <v>1</v>
      </c>
    </row>
    <row r="85" spans="1:5" ht="24.75">
      <c r="A85" s="11" t="s">
        <v>363</v>
      </c>
      <c r="B85" s="11" t="s">
        <v>233</v>
      </c>
      <c r="C85" s="11" t="s">
        <v>242</v>
      </c>
      <c r="D85" s="11" t="s">
        <v>490</v>
      </c>
      <c r="E85" s="11">
        <v>1</v>
      </c>
    </row>
    <row r="86" spans="1:5" ht="24.75">
      <c r="A86" s="11" t="s">
        <v>363</v>
      </c>
      <c r="B86" s="11" t="s">
        <v>233</v>
      </c>
      <c r="C86" s="11" t="s">
        <v>242</v>
      </c>
      <c r="D86" s="11" t="s">
        <v>491</v>
      </c>
      <c r="E86" s="11">
        <v>1</v>
      </c>
    </row>
    <row r="87" spans="1:5" ht="24.75">
      <c r="A87" s="11" t="s">
        <v>363</v>
      </c>
      <c r="B87" s="11" t="s">
        <v>233</v>
      </c>
      <c r="C87" s="11" t="s">
        <v>242</v>
      </c>
      <c r="D87" s="11" t="s">
        <v>492</v>
      </c>
      <c r="E87" s="11">
        <v>1</v>
      </c>
    </row>
    <row r="88" spans="1:5" ht="24.75">
      <c r="A88" s="11" t="s">
        <v>363</v>
      </c>
      <c r="B88" s="11" t="s">
        <v>233</v>
      </c>
      <c r="C88" s="11" t="s">
        <v>242</v>
      </c>
      <c r="D88" s="11" t="s">
        <v>493</v>
      </c>
      <c r="E88" s="11">
        <v>1</v>
      </c>
    </row>
    <row r="89" spans="1:5" ht="24.75">
      <c r="A89" s="11" t="s">
        <v>363</v>
      </c>
      <c r="B89" s="11" t="s">
        <v>233</v>
      </c>
      <c r="C89" s="11" t="s">
        <v>242</v>
      </c>
      <c r="D89" s="11" t="s">
        <v>494</v>
      </c>
      <c r="E89" s="11">
        <v>1</v>
      </c>
    </row>
    <row r="90" spans="1:5" ht="24.75">
      <c r="A90" s="11" t="s">
        <v>363</v>
      </c>
      <c r="B90" s="11" t="s">
        <v>233</v>
      </c>
      <c r="C90" s="11" t="s">
        <v>242</v>
      </c>
      <c r="D90" s="11" t="s">
        <v>495</v>
      </c>
      <c r="E90" s="11">
        <v>1</v>
      </c>
    </row>
    <row r="91" spans="1:5" ht="24.75">
      <c r="A91" s="11" t="s">
        <v>363</v>
      </c>
      <c r="B91" s="11" t="s">
        <v>233</v>
      </c>
      <c r="C91" s="11" t="s">
        <v>242</v>
      </c>
      <c r="D91" s="11" t="s">
        <v>496</v>
      </c>
      <c r="E91" s="11">
        <v>1</v>
      </c>
    </row>
    <row r="92" spans="1:5" ht="24.75">
      <c r="A92" s="11" t="s">
        <v>363</v>
      </c>
      <c r="B92" s="11" t="s">
        <v>233</v>
      </c>
      <c r="C92" s="11" t="s">
        <v>242</v>
      </c>
      <c r="D92" s="11" t="s">
        <v>497</v>
      </c>
      <c r="E92" s="11">
        <v>1</v>
      </c>
    </row>
    <row r="93" spans="1:5" ht="24.75">
      <c r="A93" s="11" t="s">
        <v>363</v>
      </c>
      <c r="B93" s="11" t="s">
        <v>233</v>
      </c>
      <c r="C93" s="11" t="s">
        <v>242</v>
      </c>
      <c r="D93" s="11" t="s">
        <v>498</v>
      </c>
      <c r="E93" s="11">
        <v>1</v>
      </c>
    </row>
    <row r="94" spans="1:5" ht="24.75">
      <c r="A94" s="11" t="s">
        <v>363</v>
      </c>
      <c r="B94" s="11" t="s">
        <v>233</v>
      </c>
      <c r="C94" s="11" t="s">
        <v>242</v>
      </c>
      <c r="D94" s="11" t="s">
        <v>499</v>
      </c>
      <c r="E94" s="11">
        <v>1</v>
      </c>
    </row>
    <row r="95" spans="1:5" ht="24.75">
      <c r="A95" s="11" t="s">
        <v>363</v>
      </c>
      <c r="B95" s="11" t="s">
        <v>233</v>
      </c>
      <c r="C95" s="11" t="s">
        <v>242</v>
      </c>
      <c r="D95" s="11" t="s">
        <v>500</v>
      </c>
      <c r="E95" s="11">
        <v>1</v>
      </c>
    </row>
    <row r="96" spans="1:5" ht="24.75">
      <c r="A96" s="11" t="s">
        <v>363</v>
      </c>
      <c r="B96" s="11" t="s">
        <v>233</v>
      </c>
      <c r="C96" s="11" t="s">
        <v>242</v>
      </c>
      <c r="D96" s="11" t="s">
        <v>501</v>
      </c>
      <c r="E96" s="11">
        <v>1</v>
      </c>
    </row>
    <row r="97" spans="1:5" ht="24.75">
      <c r="A97" s="11" t="s">
        <v>363</v>
      </c>
      <c r="B97" s="11" t="s">
        <v>233</v>
      </c>
      <c r="C97" s="11" t="s">
        <v>242</v>
      </c>
      <c r="D97" s="11" t="s">
        <v>502</v>
      </c>
      <c r="E97" s="11">
        <v>1</v>
      </c>
    </row>
    <row r="98" spans="1:5" ht="24.75">
      <c r="A98" s="11" t="s">
        <v>363</v>
      </c>
      <c r="B98" s="11" t="s">
        <v>233</v>
      </c>
      <c r="C98" s="11" t="s">
        <v>242</v>
      </c>
      <c r="D98" s="11" t="s">
        <v>503</v>
      </c>
      <c r="E98" s="11">
        <v>1</v>
      </c>
    </row>
    <row r="99" spans="1:5" ht="24.75">
      <c r="A99" s="11" t="s">
        <v>363</v>
      </c>
      <c r="B99" s="11" t="s">
        <v>233</v>
      </c>
      <c r="C99" s="11" t="s">
        <v>242</v>
      </c>
      <c r="D99" s="11" t="s">
        <v>504</v>
      </c>
      <c r="E99" s="11">
        <v>1</v>
      </c>
    </row>
    <row r="100" spans="1:5" ht="24.75">
      <c r="A100" s="11" t="s">
        <v>363</v>
      </c>
      <c r="B100" s="11" t="s">
        <v>233</v>
      </c>
      <c r="C100" s="11" t="s">
        <v>242</v>
      </c>
      <c r="D100" s="11" t="s">
        <v>505</v>
      </c>
      <c r="E100" s="11">
        <v>1</v>
      </c>
    </row>
    <row r="101" spans="1:5" ht="24.75">
      <c r="A101" s="11" t="s">
        <v>363</v>
      </c>
      <c r="B101" s="11" t="s">
        <v>233</v>
      </c>
      <c r="C101" s="11" t="s">
        <v>242</v>
      </c>
      <c r="D101" s="11" t="s">
        <v>506</v>
      </c>
      <c r="E101" s="11">
        <v>1</v>
      </c>
    </row>
    <row r="102" spans="1:5" ht="24.75">
      <c r="A102" s="11" t="s">
        <v>363</v>
      </c>
      <c r="B102" s="11" t="s">
        <v>233</v>
      </c>
      <c r="C102" s="11" t="s">
        <v>242</v>
      </c>
      <c r="D102" s="11" t="s">
        <v>507</v>
      </c>
      <c r="E102" s="11">
        <v>1</v>
      </c>
    </row>
    <row r="103" spans="1:5" ht="24.75">
      <c r="A103" s="11" t="s">
        <v>363</v>
      </c>
      <c r="B103" s="11" t="s">
        <v>233</v>
      </c>
      <c r="C103" s="11" t="s">
        <v>242</v>
      </c>
      <c r="D103" s="11" t="s">
        <v>508</v>
      </c>
      <c r="E103" s="11">
        <v>1</v>
      </c>
    </row>
    <row r="104" spans="1:5" ht="24.75">
      <c r="A104" s="11" t="s">
        <v>363</v>
      </c>
      <c r="B104" s="11" t="s">
        <v>233</v>
      </c>
      <c r="C104" s="11" t="s">
        <v>242</v>
      </c>
      <c r="D104" s="11" t="s">
        <v>509</v>
      </c>
      <c r="E104" s="11">
        <v>1</v>
      </c>
    </row>
    <row r="105" spans="1:5" ht="24.75">
      <c r="A105" s="11" t="s">
        <v>363</v>
      </c>
      <c r="B105" s="11" t="s">
        <v>233</v>
      </c>
      <c r="C105" s="11" t="s">
        <v>242</v>
      </c>
      <c r="D105" s="11" t="s">
        <v>510</v>
      </c>
      <c r="E105" s="11">
        <v>1</v>
      </c>
    </row>
    <row r="106" spans="1:5" ht="24.75">
      <c r="A106" s="11" t="s">
        <v>363</v>
      </c>
      <c r="B106" s="11" t="s">
        <v>233</v>
      </c>
      <c r="C106" s="11" t="s">
        <v>242</v>
      </c>
      <c r="D106" s="11" t="s">
        <v>511</v>
      </c>
      <c r="E106" s="11">
        <v>1</v>
      </c>
    </row>
    <row r="107" spans="1:5" ht="24.75">
      <c r="A107" s="11" t="s">
        <v>363</v>
      </c>
      <c r="B107" s="11" t="s">
        <v>233</v>
      </c>
      <c r="C107" s="11" t="s">
        <v>242</v>
      </c>
      <c r="D107" s="11" t="s">
        <v>512</v>
      </c>
      <c r="E107" s="11">
        <v>1</v>
      </c>
    </row>
    <row r="108" spans="1:5" ht="24.75">
      <c r="A108" s="11" t="s">
        <v>363</v>
      </c>
      <c r="B108" s="11" t="s">
        <v>233</v>
      </c>
      <c r="C108" s="11" t="s">
        <v>242</v>
      </c>
      <c r="D108" s="11" t="s">
        <v>513</v>
      </c>
      <c r="E108" s="11">
        <v>1</v>
      </c>
    </row>
    <row r="109" spans="1:5" ht="24.75">
      <c r="A109" s="11" t="s">
        <v>363</v>
      </c>
      <c r="B109" s="11" t="s">
        <v>233</v>
      </c>
      <c r="C109" s="11" t="s">
        <v>242</v>
      </c>
      <c r="D109" s="11" t="s">
        <v>514</v>
      </c>
      <c r="E109" s="11">
        <v>1</v>
      </c>
    </row>
    <row r="110" spans="1:5" ht="24.75">
      <c r="A110" s="11" t="s">
        <v>363</v>
      </c>
      <c r="B110" s="11" t="s">
        <v>233</v>
      </c>
      <c r="C110" s="11" t="s">
        <v>242</v>
      </c>
      <c r="D110" s="11" t="s">
        <v>515</v>
      </c>
      <c r="E110" s="11">
        <v>1</v>
      </c>
    </row>
    <row r="111" spans="1:5" ht="24.75">
      <c r="A111" s="11" t="s">
        <v>363</v>
      </c>
      <c r="B111" s="11" t="s">
        <v>233</v>
      </c>
      <c r="C111" s="11" t="s">
        <v>242</v>
      </c>
      <c r="D111" s="11" t="s">
        <v>516</v>
      </c>
      <c r="E111" s="11">
        <v>1</v>
      </c>
    </row>
    <row r="112" spans="1:5" ht="24.75">
      <c r="A112" s="11" t="s">
        <v>363</v>
      </c>
      <c r="B112" s="11" t="s">
        <v>233</v>
      </c>
      <c r="C112" s="11" t="s">
        <v>242</v>
      </c>
      <c r="D112" s="11" t="s">
        <v>517</v>
      </c>
      <c r="E112" s="11">
        <v>1</v>
      </c>
    </row>
    <row r="113" spans="1:5" ht="24.75">
      <c r="A113" s="11" t="s">
        <v>363</v>
      </c>
      <c r="B113" s="11" t="s">
        <v>233</v>
      </c>
      <c r="C113" s="11" t="s">
        <v>242</v>
      </c>
      <c r="D113" s="11" t="s">
        <v>518</v>
      </c>
      <c r="E113" s="11">
        <v>1</v>
      </c>
    </row>
    <row r="114" spans="1:5" ht="24.75">
      <c r="A114" s="11" t="s">
        <v>363</v>
      </c>
      <c r="B114" s="11" t="s">
        <v>233</v>
      </c>
      <c r="C114" s="11" t="s">
        <v>242</v>
      </c>
      <c r="D114" s="11" t="s">
        <v>519</v>
      </c>
      <c r="E114" s="11">
        <v>1</v>
      </c>
    </row>
    <row r="115" spans="1:5" ht="24.75">
      <c r="A115" s="11" t="s">
        <v>363</v>
      </c>
      <c r="B115" s="11" t="s">
        <v>233</v>
      </c>
      <c r="C115" s="11" t="s">
        <v>242</v>
      </c>
      <c r="D115" s="11" t="s">
        <v>520</v>
      </c>
      <c r="E115" s="11">
        <v>1</v>
      </c>
    </row>
    <row r="116" spans="1:5" ht="24.75">
      <c r="A116" s="11" t="s">
        <v>363</v>
      </c>
      <c r="B116" s="11" t="s">
        <v>233</v>
      </c>
      <c r="C116" s="11" t="s">
        <v>242</v>
      </c>
      <c r="D116" s="11" t="s">
        <v>521</v>
      </c>
      <c r="E116" s="11">
        <v>1</v>
      </c>
    </row>
    <row r="117" spans="1:5" ht="24.75">
      <c r="A117" s="11" t="s">
        <v>363</v>
      </c>
      <c r="B117" s="11" t="s">
        <v>233</v>
      </c>
      <c r="C117" s="11" t="s">
        <v>242</v>
      </c>
      <c r="D117" s="11" t="s">
        <v>522</v>
      </c>
      <c r="E117" s="11">
        <v>1</v>
      </c>
    </row>
    <row r="118" spans="1:5" ht="24.75">
      <c r="A118" s="11" t="s">
        <v>363</v>
      </c>
      <c r="B118" s="11" t="s">
        <v>233</v>
      </c>
      <c r="C118" s="11" t="s">
        <v>242</v>
      </c>
      <c r="D118" s="11" t="s">
        <v>523</v>
      </c>
      <c r="E118" s="11">
        <v>1</v>
      </c>
    </row>
    <row r="119" spans="1:5" ht="24.75">
      <c r="A119" s="11" t="s">
        <v>363</v>
      </c>
      <c r="B119" s="11" t="s">
        <v>233</v>
      </c>
      <c r="C119" s="11" t="s">
        <v>242</v>
      </c>
      <c r="D119" s="11" t="s">
        <v>524</v>
      </c>
      <c r="E119" s="11">
        <v>1</v>
      </c>
    </row>
    <row r="120" spans="1:5" ht="24.75">
      <c r="A120" s="11" t="s">
        <v>363</v>
      </c>
      <c r="B120" s="11" t="s">
        <v>233</v>
      </c>
      <c r="C120" s="11" t="s">
        <v>242</v>
      </c>
      <c r="D120" s="11" t="s">
        <v>525</v>
      </c>
      <c r="E120" s="11">
        <v>1</v>
      </c>
    </row>
    <row r="121" spans="1:5" ht="24.75">
      <c r="A121" s="11" t="s">
        <v>363</v>
      </c>
      <c r="B121" s="11" t="s">
        <v>233</v>
      </c>
      <c r="C121" s="11" t="s">
        <v>242</v>
      </c>
      <c r="D121" s="11" t="s">
        <v>526</v>
      </c>
      <c r="E121" s="11">
        <v>1</v>
      </c>
    </row>
    <row r="122" spans="1:5" ht="24.75">
      <c r="A122" s="11" t="s">
        <v>363</v>
      </c>
      <c r="B122" s="11" t="s">
        <v>233</v>
      </c>
      <c r="C122" s="11" t="s">
        <v>242</v>
      </c>
      <c r="D122" s="11" t="s">
        <v>527</v>
      </c>
      <c r="E122" s="11">
        <v>1</v>
      </c>
    </row>
    <row r="123" spans="1:5" ht="24.75">
      <c r="A123" s="11" t="s">
        <v>363</v>
      </c>
      <c r="B123" s="11" t="s">
        <v>233</v>
      </c>
      <c r="C123" s="11" t="s">
        <v>242</v>
      </c>
      <c r="D123" s="11" t="s">
        <v>528</v>
      </c>
      <c r="E123" s="11">
        <v>1</v>
      </c>
    </row>
    <row r="124" spans="1:5" ht="24.75">
      <c r="A124" s="11" t="s">
        <v>363</v>
      </c>
      <c r="B124" s="11" t="s">
        <v>233</v>
      </c>
      <c r="C124" s="11" t="s">
        <v>242</v>
      </c>
      <c r="D124" s="11" t="s">
        <v>529</v>
      </c>
      <c r="E124" s="11">
        <v>1</v>
      </c>
    </row>
    <row r="125" spans="1:5" ht="24.75">
      <c r="A125" s="11" t="s">
        <v>363</v>
      </c>
      <c r="B125" s="11" t="s">
        <v>233</v>
      </c>
      <c r="C125" s="11" t="s">
        <v>242</v>
      </c>
      <c r="D125" s="11" t="s">
        <v>530</v>
      </c>
      <c r="E125" s="11">
        <v>1</v>
      </c>
    </row>
    <row r="126" spans="1:5" ht="24.75">
      <c r="A126" s="11" t="s">
        <v>363</v>
      </c>
      <c r="B126" s="11" t="s">
        <v>233</v>
      </c>
      <c r="C126" s="11" t="s">
        <v>242</v>
      </c>
      <c r="D126" s="11" t="s">
        <v>531</v>
      </c>
      <c r="E126" s="11">
        <v>1</v>
      </c>
    </row>
    <row r="127" spans="1:5" ht="24.75">
      <c r="A127" s="11" t="s">
        <v>363</v>
      </c>
      <c r="B127" s="11" t="s">
        <v>233</v>
      </c>
      <c r="C127" s="11" t="s">
        <v>242</v>
      </c>
      <c r="D127" s="11" t="s">
        <v>532</v>
      </c>
      <c r="E127" s="11">
        <v>1</v>
      </c>
    </row>
    <row r="128" spans="1:5" ht="24.75">
      <c r="A128" s="11" t="s">
        <v>363</v>
      </c>
      <c r="B128" s="11" t="s">
        <v>233</v>
      </c>
      <c r="C128" s="11" t="s">
        <v>242</v>
      </c>
      <c r="D128" s="11" t="s">
        <v>533</v>
      </c>
      <c r="E128" s="11">
        <v>1</v>
      </c>
    </row>
    <row r="129" spans="1:5" ht="24.75">
      <c r="A129" s="11" t="s">
        <v>363</v>
      </c>
      <c r="B129" s="11" t="s">
        <v>233</v>
      </c>
      <c r="C129" s="11" t="s">
        <v>242</v>
      </c>
      <c r="D129" s="11" t="s">
        <v>534</v>
      </c>
      <c r="E129" s="11">
        <v>1</v>
      </c>
    </row>
    <row r="130" spans="1:5" ht="24.75">
      <c r="A130" s="11" t="s">
        <v>363</v>
      </c>
      <c r="B130" s="11" t="s">
        <v>233</v>
      </c>
      <c r="C130" s="11" t="s">
        <v>242</v>
      </c>
      <c r="D130" s="11" t="s">
        <v>535</v>
      </c>
      <c r="E130" s="11">
        <v>1</v>
      </c>
    </row>
    <row r="131" spans="1:5" ht="24.75">
      <c r="A131" s="11" t="s">
        <v>363</v>
      </c>
      <c r="B131" s="11" t="s">
        <v>233</v>
      </c>
      <c r="C131" s="11" t="s">
        <v>242</v>
      </c>
      <c r="D131" s="11" t="s">
        <v>536</v>
      </c>
      <c r="E131" s="11">
        <v>1</v>
      </c>
    </row>
    <row r="132" spans="1:5">
      <c r="A132" s="1" t="s">
        <v>207</v>
      </c>
      <c r="B132" s="1" t="s">
        <v>207</v>
      </c>
      <c r="C132" s="1">
        <f>SUBTOTAL(103,Elements13261[Elemento])</f>
        <v>125</v>
      </c>
      <c r="D132" s="1" t="s">
        <v>207</v>
      </c>
      <c r="E132" s="1">
        <f>SUBTOTAL(109,Elements13261[Totais:])</f>
        <v>125</v>
      </c>
    </row>
  </sheetData>
  <mergeCells count="3">
    <mergeCell ref="A1:E2"/>
    <mergeCell ref="A4:E4"/>
    <mergeCell ref="A5:E5"/>
  </mergeCells>
  <hyperlinks>
    <hyperlink ref="A1" location="'13.2.6'!A1" display="LEITOS - SUPORTE PARA PERFILADOS" xr:uid="{00000000-0004-0000-3900-000000000000}"/>
    <hyperlink ref="B1" location="'13.2.6'!A1" display="LEITOS - SUPORTE PARA PERFILADOS" xr:uid="{00000000-0004-0000-3900-000001000000}"/>
    <hyperlink ref="C1" location="'13.2.6'!A1" display="LEITOS - SUPORTE PARA PERFILADOS" xr:uid="{00000000-0004-0000-3900-000002000000}"/>
    <hyperlink ref="D1" location="'13.2.6'!A1" display="LEITOS - SUPORTE PARA PERFILADOS" xr:uid="{00000000-0004-0000-3900-000003000000}"/>
    <hyperlink ref="E1" location="'13.2.6'!A1" display="LEITOS - SUPORTE PARA PERFILADOS" xr:uid="{00000000-0004-0000-3900-000004000000}"/>
    <hyperlink ref="A2" location="'13.2.6'!A1" display="LEITOS - SUPORTE PARA PERFILADOS" xr:uid="{00000000-0004-0000-3900-000005000000}"/>
    <hyperlink ref="B2" location="'13.2.6'!A1" display="LEITOS - SUPORTE PARA PERFILADOS" xr:uid="{00000000-0004-0000-3900-000006000000}"/>
    <hyperlink ref="C2" location="'13.2.6'!A1" display="LEITOS - SUPORTE PARA PERFILADOS" xr:uid="{00000000-0004-0000-3900-000007000000}"/>
    <hyperlink ref="D2" location="'13.2.6'!A1" display="LEITOS - SUPORTE PARA PERFILADOS" xr:uid="{00000000-0004-0000-3900-000008000000}"/>
    <hyperlink ref="E2" location="'13.2.6'!A1" display="LEITOS - SUPORTE PARA PERFILADOS" xr:uid="{00000000-0004-0000-3900-000009000000}"/>
    <hyperlink ref="A4" location="'13.2.6'!A1" display="Acessórios do tubo (A)" xr:uid="{00000000-0004-0000-3900-00000A000000}"/>
    <hyperlink ref="B4" location="'13.2.6'!A1" display="Acessórios do tubo (A)" xr:uid="{00000000-0004-0000-3900-00000B000000}"/>
    <hyperlink ref="C4" location="'13.2.6'!A1" display="Acessórios do tubo (A)" xr:uid="{00000000-0004-0000-3900-00000C000000}"/>
    <hyperlink ref="D4" location="'13.2.6'!A1" display="Acessórios do tubo (A)" xr:uid="{00000000-0004-0000-3900-00000D000000}"/>
    <hyperlink ref="E4" location="'13.2.6'!A1" display="Acessórios do tubo (A)" xr:uid="{00000000-0004-0000-39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E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41</v>
      </c>
      <c r="B1" s="23" t="s">
        <v>41</v>
      </c>
      <c r="C1" s="23" t="s">
        <v>41</v>
      </c>
      <c r="D1" s="23" t="s">
        <v>41</v>
      </c>
      <c r="E1" s="23" t="s">
        <v>41</v>
      </c>
    </row>
    <row r="2" spans="1:5">
      <c r="A2" s="23" t="s">
        <v>41</v>
      </c>
      <c r="B2" s="23" t="s">
        <v>41</v>
      </c>
      <c r="C2" s="23" t="s">
        <v>41</v>
      </c>
      <c r="D2" s="23" t="s">
        <v>41</v>
      </c>
      <c r="E2" s="23" t="s">
        <v>41</v>
      </c>
    </row>
    <row r="4" spans="1:5">
      <c r="A4" s="18" t="s">
        <v>239</v>
      </c>
      <c r="B4" s="18" t="s">
        <v>239</v>
      </c>
      <c r="C4" s="18" t="s">
        <v>239</v>
      </c>
      <c r="D4" s="18" t="s">
        <v>239</v>
      </c>
      <c r="E4" s="18" t="s">
        <v>239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245</v>
      </c>
      <c r="D7" s="11" t="s">
        <v>537</v>
      </c>
      <c r="E7" s="11">
        <v>1</v>
      </c>
    </row>
    <row r="8" spans="1:5">
      <c r="A8" s="1" t="s">
        <v>207</v>
      </c>
      <c r="B8" s="1" t="s">
        <v>207</v>
      </c>
      <c r="C8" s="1">
        <f>SUBTOTAL(103,Elements13271[Elemento])</f>
        <v>1</v>
      </c>
      <c r="D8" s="1" t="s">
        <v>207</v>
      </c>
      <c r="E8" s="1">
        <f>SUBTOTAL(109,Elements13271[Totais:])</f>
        <v>1</v>
      </c>
    </row>
  </sheetData>
  <mergeCells count="3">
    <mergeCell ref="A1:E2"/>
    <mergeCell ref="A4:E4"/>
    <mergeCell ref="A5:E5"/>
  </mergeCells>
  <hyperlinks>
    <hyperlink ref="A1" location="'13.2.7'!A1" display="HIDROMETRO COM DIAMETRO DE 1/2”.FORNECIMENTO" xr:uid="{00000000-0004-0000-3A00-000000000000}"/>
    <hyperlink ref="B1" location="'13.2.7'!A1" display="HIDROMETRO COM DIAMETRO DE 1/2”.FORNECIMENTO" xr:uid="{00000000-0004-0000-3A00-000001000000}"/>
    <hyperlink ref="C1" location="'13.2.7'!A1" display="HIDROMETRO COM DIAMETRO DE 1/2”.FORNECIMENTO" xr:uid="{00000000-0004-0000-3A00-000002000000}"/>
    <hyperlink ref="D1" location="'13.2.7'!A1" display="HIDROMETRO COM DIAMETRO DE 1/2”.FORNECIMENTO" xr:uid="{00000000-0004-0000-3A00-000003000000}"/>
    <hyperlink ref="E1" location="'13.2.7'!A1" display="HIDROMETRO COM DIAMETRO DE 1/2”.FORNECIMENTO" xr:uid="{00000000-0004-0000-3A00-000004000000}"/>
    <hyperlink ref="A2" location="'13.2.7'!A1" display="HIDROMETRO COM DIAMETRO DE 1/2”.FORNECIMENTO" xr:uid="{00000000-0004-0000-3A00-000005000000}"/>
    <hyperlink ref="B2" location="'13.2.7'!A1" display="HIDROMETRO COM DIAMETRO DE 1/2”.FORNECIMENTO" xr:uid="{00000000-0004-0000-3A00-000006000000}"/>
    <hyperlink ref="C2" location="'13.2.7'!A1" display="HIDROMETRO COM DIAMETRO DE 1/2”.FORNECIMENTO" xr:uid="{00000000-0004-0000-3A00-000007000000}"/>
    <hyperlink ref="D2" location="'13.2.7'!A1" display="HIDROMETRO COM DIAMETRO DE 1/2”.FORNECIMENTO" xr:uid="{00000000-0004-0000-3A00-000008000000}"/>
    <hyperlink ref="E2" location="'13.2.7'!A1" display="HIDROMETRO COM DIAMETRO DE 1/2”.FORNECIMENTO" xr:uid="{00000000-0004-0000-3A00-000009000000}"/>
    <hyperlink ref="A4" location="'13.2.7'!A1" display="Acessórios do tubo (A)" xr:uid="{00000000-0004-0000-3A00-00000A000000}"/>
    <hyperlink ref="B4" location="'13.2.7'!A1" display="Acessórios do tubo (A)" xr:uid="{00000000-0004-0000-3A00-00000B000000}"/>
    <hyperlink ref="C4" location="'13.2.7'!A1" display="Acessórios do tubo (A)" xr:uid="{00000000-0004-0000-3A00-00000C000000}"/>
    <hyperlink ref="D4" location="'13.2.7'!A1" display="Acessórios do tubo (A)" xr:uid="{00000000-0004-0000-3A00-00000D000000}"/>
    <hyperlink ref="E4" location="'13.2.7'!A1" display="Acessórios do tubo (A)" xr:uid="{00000000-0004-0000-3A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26</v>
      </c>
      <c r="B2" s="6" t="s">
        <v>27</v>
      </c>
      <c r="C2" s="6" t="s">
        <v>14</v>
      </c>
      <c r="D2" s="6" t="s">
        <v>28</v>
      </c>
      <c r="E2" s="6" t="s">
        <v>16</v>
      </c>
      <c r="F2" s="6" t="s">
        <v>229</v>
      </c>
      <c r="G2" s="6">
        <v>5.47</v>
      </c>
      <c r="H2" s="6">
        <v>6.5557950000000007</v>
      </c>
      <c r="I2" s="6">
        <v>52.446360000000006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8</v>
      </c>
      <c r="D8" s="11" t="s">
        <v>206</v>
      </c>
      <c r="E8" s="11">
        <v>8</v>
      </c>
    </row>
    <row r="9" spans="1:9">
      <c r="A9" s="11" t="s">
        <v>207</v>
      </c>
      <c r="B9" s="11" t="s">
        <v>207</v>
      </c>
      <c r="C9" s="11">
        <f>SUBTOTAL(109,Criteria_Summary13.2.4[Elementos])</f>
        <v>8</v>
      </c>
      <c r="D9" s="11" t="s">
        <v>207</v>
      </c>
      <c r="E9" s="11">
        <f>SUBTOTAL(109,Criteria_Summary13.2.4[Total])</f>
        <v>8</v>
      </c>
    </row>
    <row r="10" spans="1:9">
      <c r="A10" s="12" t="s">
        <v>208</v>
      </c>
      <c r="B10" s="12">
        <v>0</v>
      </c>
      <c r="C10" s="13"/>
      <c r="D10" s="13"/>
      <c r="E10" s="12">
        <v>8</v>
      </c>
    </row>
    <row r="13" spans="1:9">
      <c r="A13" s="18" t="s">
        <v>206</v>
      </c>
      <c r="B13" s="18" t="s">
        <v>206</v>
      </c>
      <c r="C13" s="18" t="s">
        <v>206</v>
      </c>
      <c r="D13" s="18" t="s">
        <v>206</v>
      </c>
      <c r="E13" s="18" t="s">
        <v>206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8</v>
      </c>
      <c r="C16" s="21" t="s">
        <v>210</v>
      </c>
      <c r="D16" s="21" t="s">
        <v>210</v>
      </c>
      <c r="E16" s="11">
        <v>8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234</v>
      </c>
      <c r="B24" s="21" t="s">
        <v>234</v>
      </c>
      <c r="C24" s="21" t="s">
        <v>234</v>
      </c>
      <c r="D24" s="11" t="s">
        <v>214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84.75">
      <c r="A28" s="11" t="s">
        <v>220</v>
      </c>
      <c r="B28" s="11" t="s">
        <v>221</v>
      </c>
      <c r="C28" s="11" t="s">
        <v>235</v>
      </c>
      <c r="D28" s="11" t="s">
        <v>223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4" xr:uid="{00000000-0004-0000-0500-000000000000}"/>
    <hyperlink ref="F2" location="'13.2.4E'!A1" display="8" xr:uid="{00000000-0004-0000-0500-000001000000}"/>
    <hyperlink ref="E10" location="'13.2.4E'!A1" display="'13.2.4E'!A1" xr:uid="{00000000-0004-0000-0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E6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45</v>
      </c>
      <c r="B1" s="23" t="s">
        <v>45</v>
      </c>
      <c r="C1" s="23" t="s">
        <v>45</v>
      </c>
      <c r="D1" s="23" t="s">
        <v>45</v>
      </c>
      <c r="E1" s="23" t="s">
        <v>45</v>
      </c>
    </row>
    <row r="2" spans="1:5">
      <c r="A2" s="23" t="s">
        <v>45</v>
      </c>
      <c r="B2" s="23" t="s">
        <v>45</v>
      </c>
      <c r="C2" s="23" t="s">
        <v>45</v>
      </c>
      <c r="D2" s="23" t="s">
        <v>45</v>
      </c>
      <c r="E2" s="23" t="s">
        <v>45</v>
      </c>
    </row>
    <row r="4" spans="1:5">
      <c r="A4" s="18" t="s">
        <v>239</v>
      </c>
      <c r="B4" s="18" t="s">
        <v>239</v>
      </c>
      <c r="C4" s="18" t="s">
        <v>239</v>
      </c>
      <c r="D4" s="18" t="s">
        <v>239</v>
      </c>
      <c r="E4" s="18" t="s">
        <v>239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249</v>
      </c>
      <c r="D7" s="11" t="s">
        <v>538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249</v>
      </c>
      <c r="D8" s="11" t="s">
        <v>539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249</v>
      </c>
      <c r="D9" s="11" t="s">
        <v>540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249</v>
      </c>
      <c r="D10" s="11" t="s">
        <v>541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249</v>
      </c>
      <c r="D11" s="11" t="s">
        <v>542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249</v>
      </c>
      <c r="D12" s="11" t="s">
        <v>543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249</v>
      </c>
      <c r="D13" s="11" t="s">
        <v>544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249</v>
      </c>
      <c r="D14" s="11" t="s">
        <v>545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249</v>
      </c>
      <c r="D15" s="11" t="s">
        <v>546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249</v>
      </c>
      <c r="D16" s="11" t="s">
        <v>547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249</v>
      </c>
      <c r="D17" s="11" t="s">
        <v>548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249</v>
      </c>
      <c r="D18" s="11" t="s">
        <v>549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249</v>
      </c>
      <c r="D19" s="11" t="s">
        <v>550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249</v>
      </c>
      <c r="D20" s="11" t="s">
        <v>551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249</v>
      </c>
      <c r="D21" s="11" t="s">
        <v>552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249</v>
      </c>
      <c r="D22" s="11" t="s">
        <v>553</v>
      </c>
      <c r="E22" s="11">
        <v>1</v>
      </c>
    </row>
    <row r="23" spans="1:5" ht="24.75">
      <c r="A23" s="11" t="s">
        <v>363</v>
      </c>
      <c r="B23" s="11" t="s">
        <v>233</v>
      </c>
      <c r="C23" s="11" t="s">
        <v>249</v>
      </c>
      <c r="D23" s="11" t="s">
        <v>554</v>
      </c>
      <c r="E23" s="11">
        <v>1</v>
      </c>
    </row>
    <row r="24" spans="1:5" ht="24.75">
      <c r="A24" s="11" t="s">
        <v>363</v>
      </c>
      <c r="B24" s="11" t="s">
        <v>233</v>
      </c>
      <c r="C24" s="11" t="s">
        <v>249</v>
      </c>
      <c r="D24" s="11" t="s">
        <v>555</v>
      </c>
      <c r="E24" s="11">
        <v>1</v>
      </c>
    </row>
    <row r="25" spans="1:5" ht="24.75">
      <c r="A25" s="11" t="s">
        <v>363</v>
      </c>
      <c r="B25" s="11" t="s">
        <v>233</v>
      </c>
      <c r="C25" s="11" t="s">
        <v>249</v>
      </c>
      <c r="D25" s="11" t="s">
        <v>556</v>
      </c>
      <c r="E25" s="11">
        <v>1</v>
      </c>
    </row>
    <row r="26" spans="1:5" ht="24.75">
      <c r="A26" s="11" t="s">
        <v>363</v>
      </c>
      <c r="B26" s="11" t="s">
        <v>233</v>
      </c>
      <c r="C26" s="11" t="s">
        <v>249</v>
      </c>
      <c r="D26" s="11" t="s">
        <v>557</v>
      </c>
      <c r="E26" s="11">
        <v>1</v>
      </c>
    </row>
    <row r="27" spans="1:5" ht="24.75">
      <c r="A27" s="11" t="s">
        <v>363</v>
      </c>
      <c r="B27" s="11" t="s">
        <v>233</v>
      </c>
      <c r="C27" s="11" t="s">
        <v>249</v>
      </c>
      <c r="D27" s="11" t="s">
        <v>558</v>
      </c>
      <c r="E27" s="11">
        <v>1</v>
      </c>
    </row>
    <row r="28" spans="1:5" ht="24.75">
      <c r="A28" s="11" t="s">
        <v>363</v>
      </c>
      <c r="B28" s="11" t="s">
        <v>233</v>
      </c>
      <c r="C28" s="11" t="s">
        <v>249</v>
      </c>
      <c r="D28" s="11" t="s">
        <v>559</v>
      </c>
      <c r="E28" s="11">
        <v>1</v>
      </c>
    </row>
    <row r="29" spans="1:5" ht="24.75">
      <c r="A29" s="11" t="s">
        <v>363</v>
      </c>
      <c r="B29" s="11" t="s">
        <v>233</v>
      </c>
      <c r="C29" s="11" t="s">
        <v>249</v>
      </c>
      <c r="D29" s="11" t="s">
        <v>560</v>
      </c>
      <c r="E29" s="11">
        <v>1</v>
      </c>
    </row>
    <row r="30" spans="1:5" ht="24.75">
      <c r="A30" s="11" t="s">
        <v>363</v>
      </c>
      <c r="B30" s="11" t="s">
        <v>233</v>
      </c>
      <c r="C30" s="11" t="s">
        <v>249</v>
      </c>
      <c r="D30" s="11" t="s">
        <v>561</v>
      </c>
      <c r="E30" s="11">
        <v>1</v>
      </c>
    </row>
    <row r="31" spans="1:5" ht="24.75">
      <c r="A31" s="11" t="s">
        <v>363</v>
      </c>
      <c r="B31" s="11" t="s">
        <v>233</v>
      </c>
      <c r="C31" s="11" t="s">
        <v>249</v>
      </c>
      <c r="D31" s="11" t="s">
        <v>562</v>
      </c>
      <c r="E31" s="11">
        <v>1</v>
      </c>
    </row>
    <row r="32" spans="1:5" ht="24.75">
      <c r="A32" s="11" t="s">
        <v>363</v>
      </c>
      <c r="B32" s="11" t="s">
        <v>233</v>
      </c>
      <c r="C32" s="11" t="s">
        <v>249</v>
      </c>
      <c r="D32" s="11" t="s">
        <v>563</v>
      </c>
      <c r="E32" s="11">
        <v>1</v>
      </c>
    </row>
    <row r="33" spans="1:5" ht="24.75">
      <c r="A33" s="11" t="s">
        <v>363</v>
      </c>
      <c r="B33" s="11" t="s">
        <v>233</v>
      </c>
      <c r="C33" s="11" t="s">
        <v>249</v>
      </c>
      <c r="D33" s="11" t="s">
        <v>564</v>
      </c>
      <c r="E33" s="11">
        <v>1</v>
      </c>
    </row>
    <row r="34" spans="1:5" ht="24.75">
      <c r="A34" s="11" t="s">
        <v>363</v>
      </c>
      <c r="B34" s="11" t="s">
        <v>233</v>
      </c>
      <c r="C34" s="11" t="s">
        <v>249</v>
      </c>
      <c r="D34" s="11" t="s">
        <v>565</v>
      </c>
      <c r="E34" s="11">
        <v>1</v>
      </c>
    </row>
    <row r="35" spans="1:5" ht="24.75">
      <c r="A35" s="11" t="s">
        <v>363</v>
      </c>
      <c r="B35" s="11" t="s">
        <v>233</v>
      </c>
      <c r="C35" s="11" t="s">
        <v>249</v>
      </c>
      <c r="D35" s="11" t="s">
        <v>566</v>
      </c>
      <c r="E35" s="11">
        <v>1</v>
      </c>
    </row>
    <row r="36" spans="1:5" ht="24.75">
      <c r="A36" s="11" t="s">
        <v>363</v>
      </c>
      <c r="B36" s="11" t="s">
        <v>233</v>
      </c>
      <c r="C36" s="11" t="s">
        <v>249</v>
      </c>
      <c r="D36" s="11" t="s">
        <v>567</v>
      </c>
      <c r="E36" s="11">
        <v>1</v>
      </c>
    </row>
    <row r="37" spans="1:5" ht="24.75">
      <c r="A37" s="11" t="s">
        <v>363</v>
      </c>
      <c r="B37" s="11" t="s">
        <v>233</v>
      </c>
      <c r="C37" s="11" t="s">
        <v>249</v>
      </c>
      <c r="D37" s="11" t="s">
        <v>568</v>
      </c>
      <c r="E37" s="11">
        <v>1</v>
      </c>
    </row>
    <row r="38" spans="1:5" ht="24.75">
      <c r="A38" s="11" t="s">
        <v>363</v>
      </c>
      <c r="B38" s="11" t="s">
        <v>233</v>
      </c>
      <c r="C38" s="11" t="s">
        <v>249</v>
      </c>
      <c r="D38" s="11" t="s">
        <v>569</v>
      </c>
      <c r="E38" s="11">
        <v>1</v>
      </c>
    </row>
    <row r="39" spans="1:5" ht="24.75">
      <c r="A39" s="11" t="s">
        <v>363</v>
      </c>
      <c r="B39" s="11" t="s">
        <v>233</v>
      </c>
      <c r="C39" s="11" t="s">
        <v>249</v>
      </c>
      <c r="D39" s="11" t="s">
        <v>570</v>
      </c>
      <c r="E39" s="11">
        <v>1</v>
      </c>
    </row>
    <row r="40" spans="1:5" ht="24.75">
      <c r="A40" s="11" t="s">
        <v>363</v>
      </c>
      <c r="B40" s="11" t="s">
        <v>233</v>
      </c>
      <c r="C40" s="11" t="s">
        <v>249</v>
      </c>
      <c r="D40" s="11" t="s">
        <v>571</v>
      </c>
      <c r="E40" s="11">
        <v>1</v>
      </c>
    </row>
    <row r="41" spans="1:5" ht="24.75">
      <c r="A41" s="11" t="s">
        <v>363</v>
      </c>
      <c r="B41" s="11" t="s">
        <v>233</v>
      </c>
      <c r="C41" s="11" t="s">
        <v>249</v>
      </c>
      <c r="D41" s="11" t="s">
        <v>572</v>
      </c>
      <c r="E41" s="11">
        <v>1</v>
      </c>
    </row>
    <row r="42" spans="1:5" ht="24.75">
      <c r="A42" s="11" t="s">
        <v>363</v>
      </c>
      <c r="B42" s="11" t="s">
        <v>233</v>
      </c>
      <c r="C42" s="11" t="s">
        <v>249</v>
      </c>
      <c r="D42" s="11" t="s">
        <v>573</v>
      </c>
      <c r="E42" s="11">
        <v>1</v>
      </c>
    </row>
    <row r="43" spans="1:5" ht="24.75">
      <c r="A43" s="11" t="s">
        <v>363</v>
      </c>
      <c r="B43" s="11" t="s">
        <v>233</v>
      </c>
      <c r="C43" s="11" t="s">
        <v>249</v>
      </c>
      <c r="D43" s="11" t="s">
        <v>574</v>
      </c>
      <c r="E43" s="11">
        <v>1</v>
      </c>
    </row>
    <row r="44" spans="1:5" ht="24.75">
      <c r="A44" s="11" t="s">
        <v>363</v>
      </c>
      <c r="B44" s="11" t="s">
        <v>233</v>
      </c>
      <c r="C44" s="11" t="s">
        <v>249</v>
      </c>
      <c r="D44" s="11" t="s">
        <v>575</v>
      </c>
      <c r="E44" s="11">
        <v>1</v>
      </c>
    </row>
    <row r="45" spans="1:5" ht="24.75">
      <c r="A45" s="11" t="s">
        <v>363</v>
      </c>
      <c r="B45" s="11" t="s">
        <v>233</v>
      </c>
      <c r="C45" s="11" t="s">
        <v>249</v>
      </c>
      <c r="D45" s="11" t="s">
        <v>576</v>
      </c>
      <c r="E45" s="11">
        <v>1</v>
      </c>
    </row>
    <row r="46" spans="1:5" ht="24.75">
      <c r="A46" s="11" t="s">
        <v>363</v>
      </c>
      <c r="B46" s="11" t="s">
        <v>233</v>
      </c>
      <c r="C46" s="11" t="s">
        <v>249</v>
      </c>
      <c r="D46" s="11" t="s">
        <v>577</v>
      </c>
      <c r="E46" s="11">
        <v>1</v>
      </c>
    </row>
    <row r="47" spans="1:5" ht="24.75">
      <c r="A47" s="11" t="s">
        <v>363</v>
      </c>
      <c r="B47" s="11" t="s">
        <v>233</v>
      </c>
      <c r="C47" s="11" t="s">
        <v>249</v>
      </c>
      <c r="D47" s="11" t="s">
        <v>578</v>
      </c>
      <c r="E47" s="11">
        <v>1</v>
      </c>
    </row>
    <row r="48" spans="1:5" ht="24.75">
      <c r="A48" s="11" t="s">
        <v>363</v>
      </c>
      <c r="B48" s="11" t="s">
        <v>233</v>
      </c>
      <c r="C48" s="11" t="s">
        <v>249</v>
      </c>
      <c r="D48" s="11" t="s">
        <v>579</v>
      </c>
      <c r="E48" s="11">
        <v>1</v>
      </c>
    </row>
    <row r="49" spans="1:5" ht="24.75">
      <c r="A49" s="11" t="s">
        <v>363</v>
      </c>
      <c r="B49" s="11" t="s">
        <v>233</v>
      </c>
      <c r="C49" s="11" t="s">
        <v>249</v>
      </c>
      <c r="D49" s="11" t="s">
        <v>580</v>
      </c>
      <c r="E49" s="11">
        <v>1</v>
      </c>
    </row>
    <row r="50" spans="1:5" ht="24.75">
      <c r="A50" s="11" t="s">
        <v>363</v>
      </c>
      <c r="B50" s="11" t="s">
        <v>233</v>
      </c>
      <c r="C50" s="11" t="s">
        <v>249</v>
      </c>
      <c r="D50" s="11" t="s">
        <v>581</v>
      </c>
      <c r="E50" s="11">
        <v>1</v>
      </c>
    </row>
    <row r="51" spans="1:5" ht="24.75">
      <c r="A51" s="11" t="s">
        <v>363</v>
      </c>
      <c r="B51" s="11" t="s">
        <v>233</v>
      </c>
      <c r="C51" s="11" t="s">
        <v>249</v>
      </c>
      <c r="D51" s="11" t="s">
        <v>582</v>
      </c>
      <c r="E51" s="11">
        <v>1</v>
      </c>
    </row>
    <row r="52" spans="1:5" ht="24.75">
      <c r="A52" s="11" t="s">
        <v>363</v>
      </c>
      <c r="B52" s="11" t="s">
        <v>233</v>
      </c>
      <c r="C52" s="11" t="s">
        <v>249</v>
      </c>
      <c r="D52" s="11" t="s">
        <v>583</v>
      </c>
      <c r="E52" s="11">
        <v>1</v>
      </c>
    </row>
    <row r="53" spans="1:5" ht="24.75">
      <c r="A53" s="11" t="s">
        <v>363</v>
      </c>
      <c r="B53" s="11" t="s">
        <v>233</v>
      </c>
      <c r="C53" s="11" t="s">
        <v>249</v>
      </c>
      <c r="D53" s="11" t="s">
        <v>584</v>
      </c>
      <c r="E53" s="11">
        <v>1</v>
      </c>
    </row>
    <row r="54" spans="1:5" ht="24.75">
      <c r="A54" s="11" t="s">
        <v>363</v>
      </c>
      <c r="B54" s="11" t="s">
        <v>233</v>
      </c>
      <c r="C54" s="11" t="s">
        <v>249</v>
      </c>
      <c r="D54" s="11" t="s">
        <v>585</v>
      </c>
      <c r="E54" s="11">
        <v>1</v>
      </c>
    </row>
    <row r="55" spans="1:5" ht="24.75">
      <c r="A55" s="11" t="s">
        <v>363</v>
      </c>
      <c r="B55" s="11" t="s">
        <v>233</v>
      </c>
      <c r="C55" s="11" t="s">
        <v>249</v>
      </c>
      <c r="D55" s="11" t="s">
        <v>586</v>
      </c>
      <c r="E55" s="11">
        <v>1</v>
      </c>
    </row>
    <row r="56" spans="1:5" ht="24.75">
      <c r="A56" s="11" t="s">
        <v>363</v>
      </c>
      <c r="B56" s="11" t="s">
        <v>233</v>
      </c>
      <c r="C56" s="11" t="s">
        <v>249</v>
      </c>
      <c r="D56" s="11" t="s">
        <v>587</v>
      </c>
      <c r="E56" s="11">
        <v>1</v>
      </c>
    </row>
    <row r="57" spans="1:5" ht="24.75">
      <c r="A57" s="11" t="s">
        <v>363</v>
      </c>
      <c r="B57" s="11" t="s">
        <v>233</v>
      </c>
      <c r="C57" s="11" t="s">
        <v>249</v>
      </c>
      <c r="D57" s="11" t="s">
        <v>588</v>
      </c>
      <c r="E57" s="11">
        <v>1</v>
      </c>
    </row>
    <row r="58" spans="1:5" ht="24.75">
      <c r="A58" s="11" t="s">
        <v>363</v>
      </c>
      <c r="B58" s="11" t="s">
        <v>233</v>
      </c>
      <c r="C58" s="11" t="s">
        <v>249</v>
      </c>
      <c r="D58" s="11" t="s">
        <v>589</v>
      </c>
      <c r="E58" s="11">
        <v>1</v>
      </c>
    </row>
    <row r="59" spans="1:5" ht="24.75">
      <c r="A59" s="11" t="s">
        <v>363</v>
      </c>
      <c r="B59" s="11" t="s">
        <v>233</v>
      </c>
      <c r="C59" s="11" t="s">
        <v>249</v>
      </c>
      <c r="D59" s="11" t="s">
        <v>590</v>
      </c>
      <c r="E59" s="11">
        <v>1</v>
      </c>
    </row>
    <row r="60" spans="1:5" ht="24.75">
      <c r="A60" s="11" t="s">
        <v>363</v>
      </c>
      <c r="B60" s="11" t="s">
        <v>233</v>
      </c>
      <c r="C60" s="11" t="s">
        <v>249</v>
      </c>
      <c r="D60" s="11" t="s">
        <v>591</v>
      </c>
      <c r="E60" s="11">
        <v>1</v>
      </c>
    </row>
    <row r="61" spans="1:5" ht="24.75">
      <c r="A61" s="11" t="s">
        <v>363</v>
      </c>
      <c r="B61" s="11" t="s">
        <v>233</v>
      </c>
      <c r="C61" s="11" t="s">
        <v>249</v>
      </c>
      <c r="D61" s="11" t="s">
        <v>592</v>
      </c>
      <c r="E61" s="11">
        <v>1</v>
      </c>
    </row>
    <row r="62" spans="1:5" ht="24.75">
      <c r="A62" s="11" t="s">
        <v>363</v>
      </c>
      <c r="B62" s="11" t="s">
        <v>233</v>
      </c>
      <c r="C62" s="11" t="s">
        <v>249</v>
      </c>
      <c r="D62" s="11" t="s">
        <v>593</v>
      </c>
      <c r="E62" s="11">
        <v>1</v>
      </c>
    </row>
    <row r="63" spans="1:5" ht="24.75">
      <c r="A63" s="11" t="s">
        <v>363</v>
      </c>
      <c r="B63" s="11" t="s">
        <v>233</v>
      </c>
      <c r="C63" s="11" t="s">
        <v>249</v>
      </c>
      <c r="D63" s="11" t="s">
        <v>594</v>
      </c>
      <c r="E63" s="11">
        <v>1</v>
      </c>
    </row>
    <row r="64" spans="1:5" ht="24.75">
      <c r="A64" s="11" t="s">
        <v>363</v>
      </c>
      <c r="B64" s="11" t="s">
        <v>233</v>
      </c>
      <c r="C64" s="11" t="s">
        <v>249</v>
      </c>
      <c r="D64" s="11" t="s">
        <v>595</v>
      </c>
      <c r="E64" s="11">
        <v>1</v>
      </c>
    </row>
    <row r="65" spans="1:5">
      <c r="A65" s="1" t="s">
        <v>207</v>
      </c>
      <c r="B65" s="1" t="s">
        <v>207</v>
      </c>
      <c r="C65" s="1">
        <f>SUBTOTAL(103,Elements13281[Elemento])</f>
        <v>58</v>
      </c>
      <c r="D65" s="1" t="s">
        <v>207</v>
      </c>
      <c r="E65" s="1">
        <f>SUBTOTAL(109,Elements13281[Totais:])</f>
        <v>58</v>
      </c>
    </row>
  </sheetData>
  <mergeCells count="3">
    <mergeCell ref="A1:E2"/>
    <mergeCell ref="A4:E4"/>
    <mergeCell ref="A5:E5"/>
  </mergeCells>
  <hyperlinks>
    <hyperlink ref="A1" location="'13.2.8'!A1" display="REGISTRO DE GAVETA BRUTO,COM DIAMETRO DE 3/4&amp;quot;.FORNECIMENTO E COLOCACAO" xr:uid="{00000000-0004-0000-3B00-000000000000}"/>
    <hyperlink ref="B1" location="'13.2.8'!A1" display="REGISTRO DE GAVETA BRUTO,COM DIAMETRO DE 3/4&amp;quot;.FORNECIMENTO E COLOCACAO" xr:uid="{00000000-0004-0000-3B00-000001000000}"/>
    <hyperlink ref="C1" location="'13.2.8'!A1" display="REGISTRO DE GAVETA BRUTO,COM DIAMETRO DE 3/4&amp;quot;.FORNECIMENTO E COLOCACAO" xr:uid="{00000000-0004-0000-3B00-000002000000}"/>
    <hyperlink ref="D1" location="'13.2.8'!A1" display="REGISTRO DE GAVETA BRUTO,COM DIAMETRO DE 3/4&amp;quot;.FORNECIMENTO E COLOCACAO" xr:uid="{00000000-0004-0000-3B00-000003000000}"/>
    <hyperlink ref="E1" location="'13.2.8'!A1" display="REGISTRO DE GAVETA BRUTO,COM DIAMETRO DE 3/4&amp;quot;.FORNECIMENTO E COLOCACAO" xr:uid="{00000000-0004-0000-3B00-000004000000}"/>
    <hyperlink ref="A2" location="'13.2.8'!A1" display="REGISTRO DE GAVETA BRUTO,COM DIAMETRO DE 3/4&amp;quot;.FORNECIMENTO E COLOCACAO" xr:uid="{00000000-0004-0000-3B00-000005000000}"/>
    <hyperlink ref="B2" location="'13.2.8'!A1" display="REGISTRO DE GAVETA BRUTO,COM DIAMETRO DE 3/4&amp;quot;.FORNECIMENTO E COLOCACAO" xr:uid="{00000000-0004-0000-3B00-000006000000}"/>
    <hyperlink ref="C2" location="'13.2.8'!A1" display="REGISTRO DE GAVETA BRUTO,COM DIAMETRO DE 3/4&amp;quot;.FORNECIMENTO E COLOCACAO" xr:uid="{00000000-0004-0000-3B00-000007000000}"/>
    <hyperlink ref="D2" location="'13.2.8'!A1" display="REGISTRO DE GAVETA BRUTO,COM DIAMETRO DE 3/4&amp;quot;.FORNECIMENTO E COLOCACAO" xr:uid="{00000000-0004-0000-3B00-000008000000}"/>
    <hyperlink ref="E2" location="'13.2.8'!A1" display="REGISTRO DE GAVETA BRUTO,COM DIAMETRO DE 3/4&amp;quot;.FORNECIMENTO E COLOCACAO" xr:uid="{00000000-0004-0000-3B00-000009000000}"/>
    <hyperlink ref="A4" location="'13.2.8'!A1" display="Acessórios do tubo (A)" xr:uid="{00000000-0004-0000-3B00-00000A000000}"/>
    <hyperlink ref="B4" location="'13.2.8'!A1" display="Acessórios do tubo (A)" xr:uid="{00000000-0004-0000-3B00-00000B000000}"/>
    <hyperlink ref="C4" location="'13.2.8'!A1" display="Acessórios do tubo (A)" xr:uid="{00000000-0004-0000-3B00-00000C000000}"/>
    <hyperlink ref="D4" location="'13.2.8'!A1" display="Acessórios do tubo (A)" xr:uid="{00000000-0004-0000-3B00-00000D000000}"/>
    <hyperlink ref="E4" location="'13.2.8'!A1" display="Acessórios do tubo (A)" xr:uid="{00000000-0004-0000-3B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E13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49</v>
      </c>
      <c r="B1" s="23" t="s">
        <v>49</v>
      </c>
      <c r="C1" s="23" t="s">
        <v>49</v>
      </c>
      <c r="D1" s="23" t="s">
        <v>49</v>
      </c>
      <c r="E1" s="23" t="s">
        <v>49</v>
      </c>
    </row>
    <row r="2" spans="1:5">
      <c r="A2" s="23" t="s">
        <v>49</v>
      </c>
      <c r="B2" s="23" t="s">
        <v>49</v>
      </c>
      <c r="C2" s="23" t="s">
        <v>49</v>
      </c>
      <c r="D2" s="23" t="s">
        <v>49</v>
      </c>
      <c r="E2" s="23" t="s">
        <v>49</v>
      </c>
    </row>
    <row r="4" spans="1:5">
      <c r="A4" s="18" t="s">
        <v>239</v>
      </c>
      <c r="B4" s="18" t="s">
        <v>239</v>
      </c>
      <c r="C4" s="18" t="s">
        <v>239</v>
      </c>
      <c r="D4" s="18" t="s">
        <v>239</v>
      </c>
      <c r="E4" s="18" t="s">
        <v>239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252</v>
      </c>
      <c r="D7" s="11" t="s">
        <v>596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252</v>
      </c>
      <c r="D8" s="11" t="s">
        <v>597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252</v>
      </c>
      <c r="D9" s="11" t="s">
        <v>598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252</v>
      </c>
      <c r="D10" s="11" t="s">
        <v>599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252</v>
      </c>
      <c r="D11" s="11" t="s">
        <v>600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252</v>
      </c>
      <c r="D12" s="11" t="s">
        <v>601</v>
      </c>
      <c r="E12" s="11">
        <v>1</v>
      </c>
    </row>
    <row r="13" spans="1:5">
      <c r="A13" s="1" t="s">
        <v>207</v>
      </c>
      <c r="B13" s="1" t="s">
        <v>207</v>
      </c>
      <c r="C13" s="1">
        <f>SUBTOTAL(103,Elements13291[Elemento])</f>
        <v>6</v>
      </c>
      <c r="D13" s="1" t="s">
        <v>207</v>
      </c>
      <c r="E13" s="1">
        <f>SUBTOTAL(109,Elements13291[Totais:])</f>
        <v>6</v>
      </c>
    </row>
  </sheetData>
  <mergeCells count="3">
    <mergeCell ref="A1:E2"/>
    <mergeCell ref="A4:E4"/>
    <mergeCell ref="A5:E5"/>
  </mergeCells>
  <hyperlinks>
    <hyperlink ref="A1" location="'13.2.9'!A1" display="REGISTRO DE PRESSAO,1416 DE 3/4&amp;quot;,COM CANOPLA E VOLANTE EM ME TAL CROMADO.FORNECIMENTO" xr:uid="{00000000-0004-0000-3C00-000000000000}"/>
    <hyperlink ref="B1" location="'13.2.9'!A1" display="REGISTRO DE PRESSAO,1416 DE 3/4&amp;quot;,COM CANOPLA E VOLANTE EM ME TAL CROMADO.FORNECIMENTO" xr:uid="{00000000-0004-0000-3C00-000001000000}"/>
    <hyperlink ref="C1" location="'13.2.9'!A1" display="REGISTRO DE PRESSAO,1416 DE 3/4&amp;quot;,COM CANOPLA E VOLANTE EM ME TAL CROMADO.FORNECIMENTO" xr:uid="{00000000-0004-0000-3C00-000002000000}"/>
    <hyperlink ref="D1" location="'13.2.9'!A1" display="REGISTRO DE PRESSAO,1416 DE 3/4&amp;quot;,COM CANOPLA E VOLANTE EM ME TAL CROMADO.FORNECIMENTO" xr:uid="{00000000-0004-0000-3C00-000003000000}"/>
    <hyperlink ref="E1" location="'13.2.9'!A1" display="REGISTRO DE PRESSAO,1416 DE 3/4&amp;quot;,COM CANOPLA E VOLANTE EM ME TAL CROMADO.FORNECIMENTO" xr:uid="{00000000-0004-0000-3C00-000004000000}"/>
    <hyperlink ref="A2" location="'13.2.9'!A1" display="REGISTRO DE PRESSAO,1416 DE 3/4&amp;quot;,COM CANOPLA E VOLANTE EM ME TAL CROMADO.FORNECIMENTO" xr:uid="{00000000-0004-0000-3C00-000005000000}"/>
    <hyperlink ref="B2" location="'13.2.9'!A1" display="REGISTRO DE PRESSAO,1416 DE 3/4&amp;quot;,COM CANOPLA E VOLANTE EM ME TAL CROMADO.FORNECIMENTO" xr:uid="{00000000-0004-0000-3C00-000006000000}"/>
    <hyperlink ref="C2" location="'13.2.9'!A1" display="REGISTRO DE PRESSAO,1416 DE 3/4&amp;quot;,COM CANOPLA E VOLANTE EM ME TAL CROMADO.FORNECIMENTO" xr:uid="{00000000-0004-0000-3C00-000007000000}"/>
    <hyperlink ref="D2" location="'13.2.9'!A1" display="REGISTRO DE PRESSAO,1416 DE 3/4&amp;quot;,COM CANOPLA E VOLANTE EM ME TAL CROMADO.FORNECIMENTO" xr:uid="{00000000-0004-0000-3C00-000008000000}"/>
    <hyperlink ref="E2" location="'13.2.9'!A1" display="REGISTRO DE PRESSAO,1416 DE 3/4&amp;quot;,COM CANOPLA E VOLANTE EM ME TAL CROMADO.FORNECIMENTO" xr:uid="{00000000-0004-0000-3C00-000009000000}"/>
    <hyperlink ref="A4" location="'13.2.9'!A1" display="Acessórios do tubo (A)" xr:uid="{00000000-0004-0000-3C00-00000A000000}"/>
    <hyperlink ref="B4" location="'13.2.9'!A1" display="Acessórios do tubo (A)" xr:uid="{00000000-0004-0000-3C00-00000B000000}"/>
    <hyperlink ref="C4" location="'13.2.9'!A1" display="Acessórios do tubo (A)" xr:uid="{00000000-0004-0000-3C00-00000C000000}"/>
    <hyperlink ref="D4" location="'13.2.9'!A1" display="Acessórios do tubo (A)" xr:uid="{00000000-0004-0000-3C00-00000D000000}"/>
    <hyperlink ref="E4" location="'13.2.9'!A1" display="Acessórios do tubo (A)" xr:uid="{00000000-0004-0000-3C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E13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52</v>
      </c>
      <c r="B1" s="23" t="s">
        <v>52</v>
      </c>
      <c r="C1" s="23" t="s">
        <v>52</v>
      </c>
      <c r="D1" s="23" t="s">
        <v>52</v>
      </c>
      <c r="E1" s="23" t="s">
        <v>52</v>
      </c>
    </row>
    <row r="2" spans="1:5">
      <c r="A2" s="23" t="s">
        <v>52</v>
      </c>
      <c r="B2" s="23" t="s">
        <v>52</v>
      </c>
      <c r="C2" s="23" t="s">
        <v>52</v>
      </c>
      <c r="D2" s="23" t="s">
        <v>52</v>
      </c>
      <c r="E2" s="23" t="s">
        <v>52</v>
      </c>
    </row>
    <row r="4" spans="1:5">
      <c r="A4" s="18" t="s">
        <v>239</v>
      </c>
      <c r="B4" s="18" t="s">
        <v>239</v>
      </c>
      <c r="C4" s="18" t="s">
        <v>239</v>
      </c>
      <c r="D4" s="18" t="s">
        <v>239</v>
      </c>
      <c r="E4" s="18" t="s">
        <v>239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255</v>
      </c>
      <c r="D7" s="11" t="s">
        <v>602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255</v>
      </c>
      <c r="D8" s="11" t="s">
        <v>603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255</v>
      </c>
      <c r="D9" s="11" t="s">
        <v>604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255</v>
      </c>
      <c r="D10" s="11" t="s">
        <v>605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255</v>
      </c>
      <c r="D11" s="11" t="s">
        <v>606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255</v>
      </c>
      <c r="D12" s="11" t="s">
        <v>607</v>
      </c>
      <c r="E12" s="11">
        <v>1</v>
      </c>
    </row>
    <row r="13" spans="1:5">
      <c r="A13" s="1" t="s">
        <v>207</v>
      </c>
      <c r="B13" s="1" t="s">
        <v>207</v>
      </c>
      <c r="C13" s="1">
        <f>SUBTOTAL(103,Elements132101[Elemento])</f>
        <v>6</v>
      </c>
      <c r="D13" s="1" t="s">
        <v>207</v>
      </c>
      <c r="E13" s="1">
        <f>SUBTOTAL(109,Elements132101[Totais:])</f>
        <v>6</v>
      </c>
    </row>
  </sheetData>
  <mergeCells count="3">
    <mergeCell ref="A1:E2"/>
    <mergeCell ref="A4:E4"/>
    <mergeCell ref="A5:E5"/>
  </mergeCells>
  <hyperlinks>
    <hyperlink ref="A1" location="'13.2.10'!A1" display="REGISTRO DE ESFERA,EM PVC,SOLDAVEL,COM DIAMETRO DE 25MM.FORN ECIMENTO E COLOCACAO" xr:uid="{00000000-0004-0000-3D00-000000000000}"/>
    <hyperlink ref="B1" location="'13.2.10'!A1" display="REGISTRO DE ESFERA,EM PVC,SOLDAVEL,COM DIAMETRO DE 25MM.FORN ECIMENTO E COLOCACAO" xr:uid="{00000000-0004-0000-3D00-000001000000}"/>
    <hyperlink ref="C1" location="'13.2.10'!A1" display="REGISTRO DE ESFERA,EM PVC,SOLDAVEL,COM DIAMETRO DE 25MM.FORN ECIMENTO E COLOCACAO" xr:uid="{00000000-0004-0000-3D00-000002000000}"/>
    <hyperlink ref="D1" location="'13.2.10'!A1" display="REGISTRO DE ESFERA,EM PVC,SOLDAVEL,COM DIAMETRO DE 25MM.FORN ECIMENTO E COLOCACAO" xr:uid="{00000000-0004-0000-3D00-000003000000}"/>
    <hyperlink ref="E1" location="'13.2.10'!A1" display="REGISTRO DE ESFERA,EM PVC,SOLDAVEL,COM DIAMETRO DE 25MM.FORN ECIMENTO E COLOCACAO" xr:uid="{00000000-0004-0000-3D00-000004000000}"/>
    <hyperlink ref="A2" location="'13.2.10'!A1" display="REGISTRO DE ESFERA,EM PVC,SOLDAVEL,COM DIAMETRO DE 25MM.FORN ECIMENTO E COLOCACAO" xr:uid="{00000000-0004-0000-3D00-000005000000}"/>
    <hyperlink ref="B2" location="'13.2.10'!A1" display="REGISTRO DE ESFERA,EM PVC,SOLDAVEL,COM DIAMETRO DE 25MM.FORN ECIMENTO E COLOCACAO" xr:uid="{00000000-0004-0000-3D00-000006000000}"/>
    <hyperlink ref="C2" location="'13.2.10'!A1" display="REGISTRO DE ESFERA,EM PVC,SOLDAVEL,COM DIAMETRO DE 25MM.FORN ECIMENTO E COLOCACAO" xr:uid="{00000000-0004-0000-3D00-000007000000}"/>
    <hyperlink ref="D2" location="'13.2.10'!A1" display="REGISTRO DE ESFERA,EM PVC,SOLDAVEL,COM DIAMETRO DE 25MM.FORN ECIMENTO E COLOCACAO" xr:uid="{00000000-0004-0000-3D00-000008000000}"/>
    <hyperlink ref="E2" location="'13.2.10'!A1" display="REGISTRO DE ESFERA,EM PVC,SOLDAVEL,COM DIAMETRO DE 25MM.FORN ECIMENTO E COLOCACAO" xr:uid="{00000000-0004-0000-3D00-000009000000}"/>
    <hyperlink ref="A4" location="'13.2.10'!A1" display="Acessórios do tubo (A)" xr:uid="{00000000-0004-0000-3D00-00000A000000}"/>
    <hyperlink ref="B4" location="'13.2.10'!A1" display="Acessórios do tubo (A)" xr:uid="{00000000-0004-0000-3D00-00000B000000}"/>
    <hyperlink ref="C4" location="'13.2.10'!A1" display="Acessórios do tubo (A)" xr:uid="{00000000-0004-0000-3D00-00000C000000}"/>
    <hyperlink ref="D4" location="'13.2.10'!A1" display="Acessórios do tubo (A)" xr:uid="{00000000-0004-0000-3D00-00000D000000}"/>
    <hyperlink ref="E4" location="'13.2.10'!A1" display="Acessórios do tubo (A)" xr:uid="{00000000-0004-0000-3D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E4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55</v>
      </c>
      <c r="B1" s="23" t="s">
        <v>55</v>
      </c>
      <c r="C1" s="23" t="s">
        <v>55</v>
      </c>
      <c r="D1" s="23" t="s">
        <v>55</v>
      </c>
      <c r="E1" s="23" t="s">
        <v>55</v>
      </c>
    </row>
    <row r="2" spans="1:5">
      <c r="A2" s="23" t="s">
        <v>55</v>
      </c>
      <c r="B2" s="23" t="s">
        <v>55</v>
      </c>
      <c r="C2" s="23" t="s">
        <v>55</v>
      </c>
      <c r="D2" s="23" t="s">
        <v>55</v>
      </c>
      <c r="E2" s="23" t="s">
        <v>55</v>
      </c>
    </row>
    <row r="4" spans="1:5">
      <c r="A4" s="18" t="s">
        <v>239</v>
      </c>
      <c r="B4" s="18" t="s">
        <v>239</v>
      </c>
      <c r="C4" s="18" t="s">
        <v>239</v>
      </c>
      <c r="D4" s="18" t="s">
        <v>239</v>
      </c>
      <c r="E4" s="18" t="s">
        <v>239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258</v>
      </c>
      <c r="D7" s="11" t="s">
        <v>608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258</v>
      </c>
      <c r="D8" s="11" t="s">
        <v>609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258</v>
      </c>
      <c r="D9" s="11" t="s">
        <v>610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258</v>
      </c>
      <c r="D10" s="11" t="s">
        <v>611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258</v>
      </c>
      <c r="D11" s="11" t="s">
        <v>612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258</v>
      </c>
      <c r="D12" s="11" t="s">
        <v>613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258</v>
      </c>
      <c r="D13" s="11" t="s">
        <v>614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258</v>
      </c>
      <c r="D14" s="11" t="s">
        <v>615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258</v>
      </c>
      <c r="D15" s="11" t="s">
        <v>616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258</v>
      </c>
      <c r="D16" s="11" t="s">
        <v>617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258</v>
      </c>
      <c r="D17" s="11" t="s">
        <v>618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258</v>
      </c>
      <c r="D18" s="11" t="s">
        <v>619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258</v>
      </c>
      <c r="D19" s="11" t="s">
        <v>620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258</v>
      </c>
      <c r="D20" s="11" t="s">
        <v>621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258</v>
      </c>
      <c r="D21" s="11" t="s">
        <v>622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258</v>
      </c>
      <c r="D22" s="11" t="s">
        <v>623</v>
      </c>
      <c r="E22" s="11">
        <v>1</v>
      </c>
    </row>
    <row r="23" spans="1:5" ht="24.75">
      <c r="A23" s="11" t="s">
        <v>363</v>
      </c>
      <c r="B23" s="11" t="s">
        <v>233</v>
      </c>
      <c r="C23" s="11" t="s">
        <v>258</v>
      </c>
      <c r="D23" s="11" t="s">
        <v>624</v>
      </c>
      <c r="E23" s="11">
        <v>1</v>
      </c>
    </row>
    <row r="24" spans="1:5" ht="24.75">
      <c r="A24" s="11" t="s">
        <v>363</v>
      </c>
      <c r="B24" s="11" t="s">
        <v>233</v>
      </c>
      <c r="C24" s="11" t="s">
        <v>258</v>
      </c>
      <c r="D24" s="11" t="s">
        <v>625</v>
      </c>
      <c r="E24" s="11">
        <v>1</v>
      </c>
    </row>
    <row r="25" spans="1:5" ht="24.75">
      <c r="A25" s="11" t="s">
        <v>363</v>
      </c>
      <c r="B25" s="11" t="s">
        <v>233</v>
      </c>
      <c r="C25" s="11" t="s">
        <v>258</v>
      </c>
      <c r="D25" s="11" t="s">
        <v>626</v>
      </c>
      <c r="E25" s="11">
        <v>1</v>
      </c>
    </row>
    <row r="26" spans="1:5" ht="24.75">
      <c r="A26" s="11" t="s">
        <v>363</v>
      </c>
      <c r="B26" s="11" t="s">
        <v>233</v>
      </c>
      <c r="C26" s="11" t="s">
        <v>258</v>
      </c>
      <c r="D26" s="11" t="s">
        <v>627</v>
      </c>
      <c r="E26" s="11">
        <v>1</v>
      </c>
    </row>
    <row r="27" spans="1:5" ht="24.75">
      <c r="A27" s="11" t="s">
        <v>363</v>
      </c>
      <c r="B27" s="11" t="s">
        <v>233</v>
      </c>
      <c r="C27" s="11" t="s">
        <v>258</v>
      </c>
      <c r="D27" s="11" t="s">
        <v>628</v>
      </c>
      <c r="E27" s="11">
        <v>1</v>
      </c>
    </row>
    <row r="28" spans="1:5">
      <c r="A28" s="1" t="s">
        <v>207</v>
      </c>
      <c r="B28" s="1" t="s">
        <v>207</v>
      </c>
      <c r="C28" s="1">
        <f>SUBTOTAL(103,Elements132111[Elemento])</f>
        <v>21</v>
      </c>
      <c r="D28" s="1" t="s">
        <v>207</v>
      </c>
      <c r="E28" s="1">
        <f>SUBTOTAL(109,Elements132111[Totais:])</f>
        <v>21</v>
      </c>
    </row>
    <row r="31" spans="1:5">
      <c r="A31" s="23" t="s">
        <v>55</v>
      </c>
      <c r="B31" s="23" t="s">
        <v>55</v>
      </c>
      <c r="C31" s="23" t="s">
        <v>55</v>
      </c>
      <c r="D31" s="23" t="s">
        <v>55</v>
      </c>
      <c r="E31" s="23" t="s">
        <v>55</v>
      </c>
    </row>
    <row r="32" spans="1:5">
      <c r="A32" s="23" t="s">
        <v>55</v>
      </c>
      <c r="B32" s="23" t="s">
        <v>55</v>
      </c>
      <c r="C32" s="23" t="s">
        <v>55</v>
      </c>
      <c r="D32" s="23" t="s">
        <v>55</v>
      </c>
      <c r="E32" s="23" t="s">
        <v>55</v>
      </c>
    </row>
    <row r="34" spans="1:5">
      <c r="A34" s="18" t="s">
        <v>239</v>
      </c>
      <c r="B34" s="18" t="s">
        <v>239</v>
      </c>
      <c r="C34" s="18" t="s">
        <v>239</v>
      </c>
      <c r="D34" s="18" t="s">
        <v>239</v>
      </c>
      <c r="E34" s="18" t="s">
        <v>239</v>
      </c>
    </row>
    <row r="35" spans="1:5">
      <c r="A35" s="24" t="s">
        <v>207</v>
      </c>
      <c r="B35" s="24" t="s">
        <v>207</v>
      </c>
      <c r="C35" s="24" t="s">
        <v>207</v>
      </c>
      <c r="D35" s="24" t="s">
        <v>207</v>
      </c>
      <c r="E35" s="24" t="s">
        <v>207</v>
      </c>
    </row>
    <row r="36" spans="1:5">
      <c r="A36" s="10" t="s">
        <v>358</v>
      </c>
      <c r="B36" s="10" t="s">
        <v>359</v>
      </c>
      <c r="C36" s="10" t="s">
        <v>360</v>
      </c>
      <c r="D36" s="10" t="s">
        <v>361</v>
      </c>
      <c r="E36" s="10" t="s">
        <v>362</v>
      </c>
    </row>
    <row r="37" spans="1:5" ht="24.75">
      <c r="A37" s="11" t="s">
        <v>363</v>
      </c>
      <c r="B37" s="11" t="s">
        <v>233</v>
      </c>
      <c r="C37" s="11" t="s">
        <v>260</v>
      </c>
      <c r="D37" s="11" t="s">
        <v>629</v>
      </c>
      <c r="E37" s="11">
        <v>1</v>
      </c>
    </row>
    <row r="38" spans="1:5" ht="24.75">
      <c r="A38" s="11" t="s">
        <v>363</v>
      </c>
      <c r="B38" s="11" t="s">
        <v>233</v>
      </c>
      <c r="C38" s="11" t="s">
        <v>260</v>
      </c>
      <c r="D38" s="11" t="s">
        <v>630</v>
      </c>
      <c r="E38" s="11">
        <v>1</v>
      </c>
    </row>
    <row r="39" spans="1:5" ht="24.75">
      <c r="A39" s="11" t="s">
        <v>363</v>
      </c>
      <c r="B39" s="11" t="s">
        <v>233</v>
      </c>
      <c r="C39" s="11" t="s">
        <v>260</v>
      </c>
      <c r="D39" s="11" t="s">
        <v>631</v>
      </c>
      <c r="E39" s="11">
        <v>1</v>
      </c>
    </row>
    <row r="40" spans="1:5" ht="24.75">
      <c r="A40" s="11" t="s">
        <v>363</v>
      </c>
      <c r="B40" s="11" t="s">
        <v>233</v>
      </c>
      <c r="C40" s="11" t="s">
        <v>260</v>
      </c>
      <c r="D40" s="11" t="s">
        <v>632</v>
      </c>
      <c r="E40" s="11">
        <v>1</v>
      </c>
    </row>
    <row r="41" spans="1:5" ht="24.75">
      <c r="A41" s="11" t="s">
        <v>363</v>
      </c>
      <c r="B41" s="11" t="s">
        <v>233</v>
      </c>
      <c r="C41" s="11" t="s">
        <v>260</v>
      </c>
      <c r="D41" s="11" t="s">
        <v>633</v>
      </c>
      <c r="E41" s="11">
        <v>1</v>
      </c>
    </row>
    <row r="42" spans="1:5" ht="24.75">
      <c r="A42" s="11" t="s">
        <v>363</v>
      </c>
      <c r="B42" s="11" t="s">
        <v>233</v>
      </c>
      <c r="C42" s="11" t="s">
        <v>260</v>
      </c>
      <c r="D42" s="11" t="s">
        <v>634</v>
      </c>
      <c r="E42" s="11">
        <v>1</v>
      </c>
    </row>
    <row r="43" spans="1:5" ht="24.75">
      <c r="A43" s="11" t="s">
        <v>363</v>
      </c>
      <c r="B43" s="11" t="s">
        <v>233</v>
      </c>
      <c r="C43" s="11" t="s">
        <v>260</v>
      </c>
      <c r="D43" s="11" t="s">
        <v>635</v>
      </c>
      <c r="E43" s="11">
        <v>1</v>
      </c>
    </row>
    <row r="44" spans="1:5" ht="24.75">
      <c r="A44" s="11" t="s">
        <v>363</v>
      </c>
      <c r="B44" s="11" t="s">
        <v>233</v>
      </c>
      <c r="C44" s="11" t="s">
        <v>260</v>
      </c>
      <c r="D44" s="11" t="s">
        <v>636</v>
      </c>
      <c r="E44" s="11">
        <v>1</v>
      </c>
    </row>
    <row r="45" spans="1:5">
      <c r="A45" s="1" t="s">
        <v>207</v>
      </c>
      <c r="B45" s="1" t="s">
        <v>207</v>
      </c>
      <c r="C45" s="1">
        <f>SUBTOTAL(103,Elements132112[Elemento])</f>
        <v>8</v>
      </c>
      <c r="D45" s="1" t="s">
        <v>207</v>
      </c>
      <c r="E45" s="1">
        <f>SUBTOTAL(109,Elements132112[Totais:])</f>
        <v>8</v>
      </c>
    </row>
  </sheetData>
  <mergeCells count="6">
    <mergeCell ref="A35:E35"/>
    <mergeCell ref="A1:E2"/>
    <mergeCell ref="A4:E4"/>
    <mergeCell ref="A5:E5"/>
    <mergeCell ref="A31:E32"/>
    <mergeCell ref="A34:E34"/>
  </mergeCells>
  <hyperlinks>
    <hyperlink ref="A1" location="'13.2.11'!A1" display="REGISTRO EM ESFERA,EM PVC,SOLDAVEL,COM DIAMETRO DE 50MM.FORN ECIMENTO E COLOCACAO" xr:uid="{00000000-0004-0000-3E00-000000000000}"/>
    <hyperlink ref="B1" location="'13.2.11'!A1" display="REGISTRO EM ESFERA,EM PVC,SOLDAVEL,COM DIAMETRO DE 50MM.FORN ECIMENTO E COLOCACAO" xr:uid="{00000000-0004-0000-3E00-000001000000}"/>
    <hyperlink ref="C1" location="'13.2.11'!A1" display="REGISTRO EM ESFERA,EM PVC,SOLDAVEL,COM DIAMETRO DE 50MM.FORN ECIMENTO E COLOCACAO" xr:uid="{00000000-0004-0000-3E00-000002000000}"/>
    <hyperlink ref="D1" location="'13.2.11'!A1" display="REGISTRO EM ESFERA,EM PVC,SOLDAVEL,COM DIAMETRO DE 50MM.FORN ECIMENTO E COLOCACAO" xr:uid="{00000000-0004-0000-3E00-000003000000}"/>
    <hyperlink ref="E1" location="'13.2.11'!A1" display="REGISTRO EM ESFERA,EM PVC,SOLDAVEL,COM DIAMETRO DE 50MM.FORN ECIMENTO E COLOCACAO" xr:uid="{00000000-0004-0000-3E00-000004000000}"/>
    <hyperlink ref="A2" location="'13.2.11'!A1" display="REGISTRO EM ESFERA,EM PVC,SOLDAVEL,COM DIAMETRO DE 50MM.FORN ECIMENTO E COLOCACAO" xr:uid="{00000000-0004-0000-3E00-000005000000}"/>
    <hyperlink ref="B2" location="'13.2.11'!A1" display="REGISTRO EM ESFERA,EM PVC,SOLDAVEL,COM DIAMETRO DE 50MM.FORN ECIMENTO E COLOCACAO" xr:uid="{00000000-0004-0000-3E00-000006000000}"/>
    <hyperlink ref="C2" location="'13.2.11'!A1" display="REGISTRO EM ESFERA,EM PVC,SOLDAVEL,COM DIAMETRO DE 50MM.FORN ECIMENTO E COLOCACAO" xr:uid="{00000000-0004-0000-3E00-000007000000}"/>
    <hyperlink ref="D2" location="'13.2.11'!A1" display="REGISTRO EM ESFERA,EM PVC,SOLDAVEL,COM DIAMETRO DE 50MM.FORN ECIMENTO E COLOCACAO" xr:uid="{00000000-0004-0000-3E00-000008000000}"/>
    <hyperlink ref="E2" location="'13.2.11'!A1" display="REGISTRO EM ESFERA,EM PVC,SOLDAVEL,COM DIAMETRO DE 50MM.FORN ECIMENTO E COLOCACAO" xr:uid="{00000000-0004-0000-3E00-000009000000}"/>
    <hyperlink ref="A4" location="'13.2.11'!A1" display="Acessórios do tubo (A)" xr:uid="{00000000-0004-0000-3E00-00000A000000}"/>
    <hyperlink ref="B4" location="'13.2.11'!A1" display="Acessórios do tubo (A)" xr:uid="{00000000-0004-0000-3E00-00000B000000}"/>
    <hyperlink ref="C4" location="'13.2.11'!A1" display="Acessórios do tubo (A)" xr:uid="{00000000-0004-0000-3E00-00000C000000}"/>
    <hyperlink ref="D4" location="'13.2.11'!A1" display="Acessórios do tubo (A)" xr:uid="{00000000-0004-0000-3E00-00000D000000}"/>
    <hyperlink ref="E4" location="'13.2.11'!A1" display="Acessórios do tubo (A)" xr:uid="{00000000-0004-0000-3E00-00000E000000}"/>
    <hyperlink ref="A31" location="'13.2.11'!A1" display="REGISTRO EM ESFERA,EM PVC,SOLDAVEL,COM DIAMETRO DE 50MM.FORN ECIMENTO E COLOCACAO" xr:uid="{00000000-0004-0000-3E00-00000F000000}"/>
    <hyperlink ref="B31" location="'13.2.11'!A1" display="REGISTRO EM ESFERA,EM PVC,SOLDAVEL,COM DIAMETRO DE 50MM.FORN ECIMENTO E COLOCACAO" xr:uid="{00000000-0004-0000-3E00-000010000000}"/>
    <hyperlink ref="C31" location="'13.2.11'!A1" display="REGISTRO EM ESFERA,EM PVC,SOLDAVEL,COM DIAMETRO DE 50MM.FORN ECIMENTO E COLOCACAO" xr:uid="{00000000-0004-0000-3E00-000011000000}"/>
    <hyperlink ref="D31" location="'13.2.11'!A1" display="REGISTRO EM ESFERA,EM PVC,SOLDAVEL,COM DIAMETRO DE 50MM.FORN ECIMENTO E COLOCACAO" xr:uid="{00000000-0004-0000-3E00-000012000000}"/>
    <hyperlink ref="E31" location="'13.2.11'!A1" display="REGISTRO EM ESFERA,EM PVC,SOLDAVEL,COM DIAMETRO DE 50MM.FORN ECIMENTO E COLOCACAO" xr:uid="{00000000-0004-0000-3E00-000013000000}"/>
    <hyperlink ref="A32" location="'13.2.11'!A1" display="REGISTRO EM ESFERA,EM PVC,SOLDAVEL,COM DIAMETRO DE 50MM.FORN ECIMENTO E COLOCACAO" xr:uid="{00000000-0004-0000-3E00-000014000000}"/>
    <hyperlink ref="B32" location="'13.2.11'!A1" display="REGISTRO EM ESFERA,EM PVC,SOLDAVEL,COM DIAMETRO DE 50MM.FORN ECIMENTO E COLOCACAO" xr:uid="{00000000-0004-0000-3E00-000015000000}"/>
    <hyperlink ref="C32" location="'13.2.11'!A1" display="REGISTRO EM ESFERA,EM PVC,SOLDAVEL,COM DIAMETRO DE 50MM.FORN ECIMENTO E COLOCACAO" xr:uid="{00000000-0004-0000-3E00-000016000000}"/>
    <hyperlink ref="D32" location="'13.2.11'!A1" display="REGISTRO EM ESFERA,EM PVC,SOLDAVEL,COM DIAMETRO DE 50MM.FORN ECIMENTO E COLOCACAO" xr:uid="{00000000-0004-0000-3E00-000017000000}"/>
    <hyperlink ref="E32" location="'13.2.11'!A1" display="REGISTRO EM ESFERA,EM PVC,SOLDAVEL,COM DIAMETRO DE 50MM.FORN ECIMENTO E COLOCACAO" xr:uid="{00000000-0004-0000-3E00-000018000000}"/>
    <hyperlink ref="A34" location="'13.2.11'!A1" display="Acessórios do tubo (A)" xr:uid="{00000000-0004-0000-3E00-000019000000}"/>
    <hyperlink ref="B34" location="'13.2.11'!A1" display="Acessórios do tubo (A)" xr:uid="{00000000-0004-0000-3E00-00001A000000}"/>
    <hyperlink ref="C34" location="'13.2.11'!A1" display="Acessórios do tubo (A)" xr:uid="{00000000-0004-0000-3E00-00001B000000}"/>
    <hyperlink ref="D34" location="'13.2.11'!A1" display="Acessórios do tubo (A)" xr:uid="{00000000-0004-0000-3E00-00001C000000}"/>
    <hyperlink ref="E34" location="'13.2.11'!A1" display="Acessórios do tubo (A)" xr:uid="{00000000-0004-0000-3E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E34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59</v>
      </c>
      <c r="B1" s="23" t="s">
        <v>59</v>
      </c>
      <c r="C1" s="23" t="s">
        <v>59</v>
      </c>
      <c r="D1" s="23" t="s">
        <v>59</v>
      </c>
      <c r="E1" s="23" t="s">
        <v>59</v>
      </c>
    </row>
    <row r="2" spans="1:5">
      <c r="A2" s="23" t="s">
        <v>59</v>
      </c>
      <c r="B2" s="23" t="s">
        <v>59</v>
      </c>
      <c r="C2" s="23" t="s">
        <v>59</v>
      </c>
      <c r="D2" s="23" t="s">
        <v>59</v>
      </c>
      <c r="E2" s="23" t="s">
        <v>59</v>
      </c>
    </row>
    <row r="4" spans="1:5">
      <c r="A4" s="18" t="s">
        <v>239</v>
      </c>
      <c r="B4" s="18" t="s">
        <v>239</v>
      </c>
      <c r="C4" s="18" t="s">
        <v>239</v>
      </c>
      <c r="D4" s="18" t="s">
        <v>239</v>
      </c>
      <c r="E4" s="18" t="s">
        <v>239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264</v>
      </c>
      <c r="D7" s="11" t="s">
        <v>637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264</v>
      </c>
      <c r="D8" s="11" t="s">
        <v>638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264</v>
      </c>
      <c r="D9" s="11" t="s">
        <v>639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264</v>
      </c>
      <c r="D10" s="11" t="s">
        <v>640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264</v>
      </c>
      <c r="D11" s="11" t="s">
        <v>641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264</v>
      </c>
      <c r="D12" s="11" t="s">
        <v>642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264</v>
      </c>
      <c r="D13" s="11" t="s">
        <v>643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264</v>
      </c>
      <c r="D14" s="11" t="s">
        <v>644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264</v>
      </c>
      <c r="D15" s="11" t="s">
        <v>645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264</v>
      </c>
      <c r="D16" s="11" t="s">
        <v>646</v>
      </c>
      <c r="E16" s="11">
        <v>1</v>
      </c>
    </row>
    <row r="17" spans="1:5">
      <c r="A17" s="1" t="s">
        <v>207</v>
      </c>
      <c r="B17" s="1" t="s">
        <v>207</v>
      </c>
      <c r="C17" s="1">
        <f>SUBTOTAL(103,Elements132121[Elemento])</f>
        <v>10</v>
      </c>
      <c r="D17" s="1" t="s">
        <v>207</v>
      </c>
      <c r="E17" s="1">
        <f>SUBTOTAL(109,Elements132121[Totais:])</f>
        <v>10</v>
      </c>
    </row>
    <row r="20" spans="1:5">
      <c r="A20" s="23" t="s">
        <v>59</v>
      </c>
      <c r="B20" s="23" t="s">
        <v>59</v>
      </c>
      <c r="C20" s="23" t="s">
        <v>59</v>
      </c>
      <c r="D20" s="23" t="s">
        <v>59</v>
      </c>
      <c r="E20" s="23" t="s">
        <v>59</v>
      </c>
    </row>
    <row r="21" spans="1:5">
      <c r="A21" s="23" t="s">
        <v>59</v>
      </c>
      <c r="B21" s="23" t="s">
        <v>59</v>
      </c>
      <c r="C21" s="23" t="s">
        <v>59</v>
      </c>
      <c r="D21" s="23" t="s">
        <v>59</v>
      </c>
      <c r="E21" s="23" t="s">
        <v>59</v>
      </c>
    </row>
    <row r="23" spans="1:5">
      <c r="A23" s="18" t="s">
        <v>239</v>
      </c>
      <c r="B23" s="18" t="s">
        <v>239</v>
      </c>
      <c r="C23" s="18" t="s">
        <v>239</v>
      </c>
      <c r="D23" s="18" t="s">
        <v>239</v>
      </c>
      <c r="E23" s="18" t="s">
        <v>239</v>
      </c>
    </row>
    <row r="24" spans="1:5">
      <c r="A24" s="24" t="s">
        <v>207</v>
      </c>
      <c r="B24" s="24" t="s">
        <v>207</v>
      </c>
      <c r="C24" s="24" t="s">
        <v>207</v>
      </c>
      <c r="D24" s="24" t="s">
        <v>207</v>
      </c>
      <c r="E24" s="24" t="s">
        <v>207</v>
      </c>
    </row>
    <row r="25" spans="1:5">
      <c r="A25" s="10" t="s">
        <v>358</v>
      </c>
      <c r="B25" s="10" t="s">
        <v>359</v>
      </c>
      <c r="C25" s="10" t="s">
        <v>360</v>
      </c>
      <c r="D25" s="10" t="s">
        <v>361</v>
      </c>
      <c r="E25" s="10" t="s">
        <v>362</v>
      </c>
    </row>
    <row r="26" spans="1:5" ht="24.75">
      <c r="A26" s="11" t="s">
        <v>363</v>
      </c>
      <c r="B26" s="11" t="s">
        <v>233</v>
      </c>
      <c r="C26" s="11" t="s">
        <v>266</v>
      </c>
      <c r="D26" s="11" t="s">
        <v>647</v>
      </c>
      <c r="E26" s="11">
        <v>1</v>
      </c>
    </row>
    <row r="27" spans="1:5" ht="24.75">
      <c r="A27" s="11" t="s">
        <v>363</v>
      </c>
      <c r="B27" s="11" t="s">
        <v>233</v>
      </c>
      <c r="C27" s="11" t="s">
        <v>266</v>
      </c>
      <c r="D27" s="11" t="s">
        <v>648</v>
      </c>
      <c r="E27" s="11">
        <v>1</v>
      </c>
    </row>
    <row r="28" spans="1:5" ht="24.75">
      <c r="A28" s="11" t="s">
        <v>363</v>
      </c>
      <c r="B28" s="11" t="s">
        <v>233</v>
      </c>
      <c r="C28" s="11" t="s">
        <v>266</v>
      </c>
      <c r="D28" s="11" t="s">
        <v>649</v>
      </c>
      <c r="E28" s="11">
        <v>1</v>
      </c>
    </row>
    <row r="29" spans="1:5" ht="24.75">
      <c r="A29" s="11" t="s">
        <v>363</v>
      </c>
      <c r="B29" s="11" t="s">
        <v>233</v>
      </c>
      <c r="C29" s="11" t="s">
        <v>266</v>
      </c>
      <c r="D29" s="11" t="s">
        <v>650</v>
      </c>
      <c r="E29" s="11">
        <v>1</v>
      </c>
    </row>
    <row r="30" spans="1:5" ht="24.75">
      <c r="A30" s="11" t="s">
        <v>363</v>
      </c>
      <c r="B30" s="11" t="s">
        <v>233</v>
      </c>
      <c r="C30" s="11" t="s">
        <v>266</v>
      </c>
      <c r="D30" s="11" t="s">
        <v>651</v>
      </c>
      <c r="E30" s="11">
        <v>1</v>
      </c>
    </row>
    <row r="31" spans="1:5" ht="24.75">
      <c r="A31" s="11" t="s">
        <v>363</v>
      </c>
      <c r="B31" s="11" t="s">
        <v>233</v>
      </c>
      <c r="C31" s="11" t="s">
        <v>266</v>
      </c>
      <c r="D31" s="11" t="s">
        <v>652</v>
      </c>
      <c r="E31" s="11">
        <v>1</v>
      </c>
    </row>
    <row r="32" spans="1:5" ht="24.75">
      <c r="A32" s="11" t="s">
        <v>363</v>
      </c>
      <c r="B32" s="11" t="s">
        <v>233</v>
      </c>
      <c r="C32" s="11" t="s">
        <v>266</v>
      </c>
      <c r="D32" s="11" t="s">
        <v>653</v>
      </c>
      <c r="E32" s="11">
        <v>1</v>
      </c>
    </row>
    <row r="33" spans="1:5" ht="24.75">
      <c r="A33" s="11" t="s">
        <v>363</v>
      </c>
      <c r="B33" s="11" t="s">
        <v>233</v>
      </c>
      <c r="C33" s="11" t="s">
        <v>266</v>
      </c>
      <c r="D33" s="11" t="s">
        <v>654</v>
      </c>
      <c r="E33" s="11">
        <v>1</v>
      </c>
    </row>
    <row r="34" spans="1:5">
      <c r="A34" s="1" t="s">
        <v>207</v>
      </c>
      <c r="B34" s="1" t="s">
        <v>207</v>
      </c>
      <c r="C34" s="1">
        <f>SUBTOTAL(103,Elements132122[Elemento])</f>
        <v>8</v>
      </c>
      <c r="D34" s="1" t="s">
        <v>207</v>
      </c>
      <c r="E34" s="1">
        <f>SUBTOTAL(109,Elements132122[Totais:])</f>
        <v>8</v>
      </c>
    </row>
  </sheetData>
  <mergeCells count="6">
    <mergeCell ref="A24:E24"/>
    <mergeCell ref="A1:E2"/>
    <mergeCell ref="A4:E4"/>
    <mergeCell ref="A5:E5"/>
    <mergeCell ref="A20:E21"/>
    <mergeCell ref="A23:E23"/>
  </mergeCells>
  <hyperlinks>
    <hyperlink ref="A1" location="'13.2.12'!A1" display="REGISTRO DE ESFERA,EM PVC,SOLDAVEL,COM DIAMETRO DE 60MM.FORN ECIMENTO E COLOCACAO" xr:uid="{00000000-0004-0000-3F00-000000000000}"/>
    <hyperlink ref="B1" location="'13.2.12'!A1" display="REGISTRO DE ESFERA,EM PVC,SOLDAVEL,COM DIAMETRO DE 60MM.FORN ECIMENTO E COLOCACAO" xr:uid="{00000000-0004-0000-3F00-000001000000}"/>
    <hyperlink ref="C1" location="'13.2.12'!A1" display="REGISTRO DE ESFERA,EM PVC,SOLDAVEL,COM DIAMETRO DE 60MM.FORN ECIMENTO E COLOCACAO" xr:uid="{00000000-0004-0000-3F00-000002000000}"/>
    <hyperlink ref="D1" location="'13.2.12'!A1" display="REGISTRO DE ESFERA,EM PVC,SOLDAVEL,COM DIAMETRO DE 60MM.FORN ECIMENTO E COLOCACAO" xr:uid="{00000000-0004-0000-3F00-000003000000}"/>
    <hyperlink ref="E1" location="'13.2.12'!A1" display="REGISTRO DE ESFERA,EM PVC,SOLDAVEL,COM DIAMETRO DE 60MM.FORN ECIMENTO E COLOCACAO" xr:uid="{00000000-0004-0000-3F00-000004000000}"/>
    <hyperlink ref="A2" location="'13.2.12'!A1" display="REGISTRO DE ESFERA,EM PVC,SOLDAVEL,COM DIAMETRO DE 60MM.FORN ECIMENTO E COLOCACAO" xr:uid="{00000000-0004-0000-3F00-000005000000}"/>
    <hyperlink ref="B2" location="'13.2.12'!A1" display="REGISTRO DE ESFERA,EM PVC,SOLDAVEL,COM DIAMETRO DE 60MM.FORN ECIMENTO E COLOCACAO" xr:uid="{00000000-0004-0000-3F00-000006000000}"/>
    <hyperlink ref="C2" location="'13.2.12'!A1" display="REGISTRO DE ESFERA,EM PVC,SOLDAVEL,COM DIAMETRO DE 60MM.FORN ECIMENTO E COLOCACAO" xr:uid="{00000000-0004-0000-3F00-000007000000}"/>
    <hyperlink ref="D2" location="'13.2.12'!A1" display="REGISTRO DE ESFERA,EM PVC,SOLDAVEL,COM DIAMETRO DE 60MM.FORN ECIMENTO E COLOCACAO" xr:uid="{00000000-0004-0000-3F00-000008000000}"/>
    <hyperlink ref="E2" location="'13.2.12'!A1" display="REGISTRO DE ESFERA,EM PVC,SOLDAVEL,COM DIAMETRO DE 60MM.FORN ECIMENTO E COLOCACAO" xr:uid="{00000000-0004-0000-3F00-000009000000}"/>
    <hyperlink ref="A4" location="'13.2.12'!A1" display="Acessórios do tubo (A)" xr:uid="{00000000-0004-0000-3F00-00000A000000}"/>
    <hyperlink ref="B4" location="'13.2.12'!A1" display="Acessórios do tubo (A)" xr:uid="{00000000-0004-0000-3F00-00000B000000}"/>
    <hyperlink ref="C4" location="'13.2.12'!A1" display="Acessórios do tubo (A)" xr:uid="{00000000-0004-0000-3F00-00000C000000}"/>
    <hyperlink ref="D4" location="'13.2.12'!A1" display="Acessórios do tubo (A)" xr:uid="{00000000-0004-0000-3F00-00000D000000}"/>
    <hyperlink ref="E4" location="'13.2.12'!A1" display="Acessórios do tubo (A)" xr:uid="{00000000-0004-0000-3F00-00000E000000}"/>
    <hyperlink ref="A20" location="'13.2.12'!A1" display="REGISTRO DE ESFERA,EM PVC,SOLDAVEL,COM DIAMETRO DE 60MM.FORN ECIMENTO E COLOCACAO" xr:uid="{00000000-0004-0000-3F00-00000F000000}"/>
    <hyperlink ref="B20" location="'13.2.12'!A1" display="REGISTRO DE ESFERA,EM PVC,SOLDAVEL,COM DIAMETRO DE 60MM.FORN ECIMENTO E COLOCACAO" xr:uid="{00000000-0004-0000-3F00-000010000000}"/>
    <hyperlink ref="C20" location="'13.2.12'!A1" display="REGISTRO DE ESFERA,EM PVC,SOLDAVEL,COM DIAMETRO DE 60MM.FORN ECIMENTO E COLOCACAO" xr:uid="{00000000-0004-0000-3F00-000011000000}"/>
    <hyperlink ref="D20" location="'13.2.12'!A1" display="REGISTRO DE ESFERA,EM PVC,SOLDAVEL,COM DIAMETRO DE 60MM.FORN ECIMENTO E COLOCACAO" xr:uid="{00000000-0004-0000-3F00-000012000000}"/>
    <hyperlink ref="E20" location="'13.2.12'!A1" display="REGISTRO DE ESFERA,EM PVC,SOLDAVEL,COM DIAMETRO DE 60MM.FORN ECIMENTO E COLOCACAO" xr:uid="{00000000-0004-0000-3F00-000013000000}"/>
    <hyperlink ref="A21" location="'13.2.12'!A1" display="REGISTRO DE ESFERA,EM PVC,SOLDAVEL,COM DIAMETRO DE 60MM.FORN ECIMENTO E COLOCACAO" xr:uid="{00000000-0004-0000-3F00-000014000000}"/>
    <hyperlink ref="B21" location="'13.2.12'!A1" display="REGISTRO DE ESFERA,EM PVC,SOLDAVEL,COM DIAMETRO DE 60MM.FORN ECIMENTO E COLOCACAO" xr:uid="{00000000-0004-0000-3F00-000015000000}"/>
    <hyperlink ref="C21" location="'13.2.12'!A1" display="REGISTRO DE ESFERA,EM PVC,SOLDAVEL,COM DIAMETRO DE 60MM.FORN ECIMENTO E COLOCACAO" xr:uid="{00000000-0004-0000-3F00-000016000000}"/>
    <hyperlink ref="D21" location="'13.2.12'!A1" display="REGISTRO DE ESFERA,EM PVC,SOLDAVEL,COM DIAMETRO DE 60MM.FORN ECIMENTO E COLOCACAO" xr:uid="{00000000-0004-0000-3F00-000017000000}"/>
    <hyperlink ref="E21" location="'13.2.12'!A1" display="REGISTRO DE ESFERA,EM PVC,SOLDAVEL,COM DIAMETRO DE 60MM.FORN ECIMENTO E COLOCACAO" xr:uid="{00000000-0004-0000-3F00-000018000000}"/>
    <hyperlink ref="A23" location="'13.2.12'!A1" display="Acessórios do tubo (A)" xr:uid="{00000000-0004-0000-3F00-000019000000}"/>
    <hyperlink ref="B23" location="'13.2.12'!A1" display="Acessórios do tubo (A)" xr:uid="{00000000-0004-0000-3F00-00001A000000}"/>
    <hyperlink ref="C23" location="'13.2.12'!A1" display="Acessórios do tubo (A)" xr:uid="{00000000-0004-0000-3F00-00001B000000}"/>
    <hyperlink ref="D23" location="'13.2.12'!A1" display="Acessórios do tubo (A)" xr:uid="{00000000-0004-0000-3F00-00001C000000}"/>
    <hyperlink ref="E23" location="'13.2.12'!A1" display="Acessórios do tubo (A)" xr:uid="{00000000-0004-0000-3F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dimension ref="A1:E5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63</v>
      </c>
      <c r="B1" s="23" t="s">
        <v>63</v>
      </c>
      <c r="C1" s="23" t="s">
        <v>63</v>
      </c>
      <c r="D1" s="23" t="s">
        <v>63</v>
      </c>
      <c r="E1" s="23" t="s">
        <v>63</v>
      </c>
    </row>
    <row r="2" spans="1:5">
      <c r="A2" s="23" t="s">
        <v>63</v>
      </c>
      <c r="B2" s="23" t="s">
        <v>63</v>
      </c>
      <c r="C2" s="23" t="s">
        <v>63</v>
      </c>
      <c r="D2" s="23" t="s">
        <v>63</v>
      </c>
      <c r="E2" s="23" t="s">
        <v>63</v>
      </c>
    </row>
    <row r="4" spans="1:5">
      <c r="A4" s="18" t="s">
        <v>269</v>
      </c>
      <c r="B4" s="18" t="s">
        <v>269</v>
      </c>
      <c r="C4" s="18" t="s">
        <v>269</v>
      </c>
      <c r="D4" s="18" t="s">
        <v>269</v>
      </c>
      <c r="E4" s="18" t="s">
        <v>269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655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656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657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658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659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660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214</v>
      </c>
      <c r="D13" s="11" t="s">
        <v>661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214</v>
      </c>
      <c r="D14" s="11" t="s">
        <v>662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214</v>
      </c>
      <c r="D15" s="11" t="s">
        <v>663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214</v>
      </c>
      <c r="D16" s="11" t="s">
        <v>664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214</v>
      </c>
      <c r="D17" s="11" t="s">
        <v>665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214</v>
      </c>
      <c r="D18" s="11" t="s">
        <v>666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214</v>
      </c>
      <c r="D19" s="11" t="s">
        <v>667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214</v>
      </c>
      <c r="D20" s="11" t="s">
        <v>668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214</v>
      </c>
      <c r="D21" s="11" t="s">
        <v>669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214</v>
      </c>
      <c r="D22" s="11" t="s">
        <v>670</v>
      </c>
      <c r="E22" s="11">
        <v>1</v>
      </c>
    </row>
    <row r="23" spans="1:5" ht="24.75">
      <c r="A23" s="11" t="s">
        <v>363</v>
      </c>
      <c r="B23" s="11" t="s">
        <v>233</v>
      </c>
      <c r="C23" s="11" t="s">
        <v>214</v>
      </c>
      <c r="D23" s="11" t="s">
        <v>671</v>
      </c>
      <c r="E23" s="11">
        <v>1</v>
      </c>
    </row>
    <row r="24" spans="1:5" ht="24.75">
      <c r="A24" s="11" t="s">
        <v>363</v>
      </c>
      <c r="B24" s="11" t="s">
        <v>233</v>
      </c>
      <c r="C24" s="11" t="s">
        <v>214</v>
      </c>
      <c r="D24" s="11" t="s">
        <v>672</v>
      </c>
      <c r="E24" s="11">
        <v>1</v>
      </c>
    </row>
    <row r="25" spans="1:5" ht="24.75">
      <c r="A25" s="11" t="s">
        <v>363</v>
      </c>
      <c r="B25" s="11" t="s">
        <v>233</v>
      </c>
      <c r="C25" s="11" t="s">
        <v>214</v>
      </c>
      <c r="D25" s="11" t="s">
        <v>673</v>
      </c>
      <c r="E25" s="11">
        <v>1</v>
      </c>
    </row>
    <row r="26" spans="1:5" ht="24.75">
      <c r="A26" s="11" t="s">
        <v>363</v>
      </c>
      <c r="B26" s="11" t="s">
        <v>233</v>
      </c>
      <c r="C26" s="11" t="s">
        <v>214</v>
      </c>
      <c r="D26" s="11" t="s">
        <v>674</v>
      </c>
      <c r="E26" s="11">
        <v>1</v>
      </c>
    </row>
    <row r="27" spans="1:5" ht="24.75">
      <c r="A27" s="11" t="s">
        <v>363</v>
      </c>
      <c r="B27" s="11" t="s">
        <v>233</v>
      </c>
      <c r="C27" s="11" t="s">
        <v>214</v>
      </c>
      <c r="D27" s="11" t="s">
        <v>675</v>
      </c>
      <c r="E27" s="11">
        <v>1</v>
      </c>
    </row>
    <row r="28" spans="1:5" ht="24.75">
      <c r="A28" s="11" t="s">
        <v>363</v>
      </c>
      <c r="B28" s="11" t="s">
        <v>233</v>
      </c>
      <c r="C28" s="11" t="s">
        <v>214</v>
      </c>
      <c r="D28" s="11" t="s">
        <v>676</v>
      </c>
      <c r="E28" s="11">
        <v>1</v>
      </c>
    </row>
    <row r="29" spans="1:5" ht="24.75">
      <c r="A29" s="11" t="s">
        <v>363</v>
      </c>
      <c r="B29" s="11" t="s">
        <v>233</v>
      </c>
      <c r="C29" s="11" t="s">
        <v>214</v>
      </c>
      <c r="D29" s="11" t="s">
        <v>677</v>
      </c>
      <c r="E29" s="11">
        <v>1</v>
      </c>
    </row>
    <row r="30" spans="1:5" ht="24.75">
      <c r="A30" s="11" t="s">
        <v>363</v>
      </c>
      <c r="B30" s="11" t="s">
        <v>233</v>
      </c>
      <c r="C30" s="11" t="s">
        <v>214</v>
      </c>
      <c r="D30" s="11" t="s">
        <v>678</v>
      </c>
      <c r="E30" s="11">
        <v>1</v>
      </c>
    </row>
    <row r="31" spans="1:5" ht="24.75">
      <c r="A31" s="11" t="s">
        <v>363</v>
      </c>
      <c r="B31" s="11" t="s">
        <v>233</v>
      </c>
      <c r="C31" s="11" t="s">
        <v>214</v>
      </c>
      <c r="D31" s="11" t="s">
        <v>679</v>
      </c>
      <c r="E31" s="11">
        <v>1</v>
      </c>
    </row>
    <row r="32" spans="1:5" ht="24.75">
      <c r="A32" s="11" t="s">
        <v>363</v>
      </c>
      <c r="B32" s="11" t="s">
        <v>233</v>
      </c>
      <c r="C32" s="11" t="s">
        <v>214</v>
      </c>
      <c r="D32" s="11" t="s">
        <v>680</v>
      </c>
      <c r="E32" s="11">
        <v>1</v>
      </c>
    </row>
    <row r="33" spans="1:5" ht="24.75">
      <c r="A33" s="11" t="s">
        <v>363</v>
      </c>
      <c r="B33" s="11" t="s">
        <v>233</v>
      </c>
      <c r="C33" s="11" t="s">
        <v>214</v>
      </c>
      <c r="D33" s="11" t="s">
        <v>681</v>
      </c>
      <c r="E33" s="11">
        <v>1</v>
      </c>
    </row>
    <row r="34" spans="1:5" ht="24.75">
      <c r="A34" s="11" t="s">
        <v>363</v>
      </c>
      <c r="B34" s="11" t="s">
        <v>233</v>
      </c>
      <c r="C34" s="11" t="s">
        <v>214</v>
      </c>
      <c r="D34" s="11" t="s">
        <v>682</v>
      </c>
      <c r="E34" s="11">
        <v>1</v>
      </c>
    </row>
    <row r="35" spans="1:5" ht="24.75">
      <c r="A35" s="11" t="s">
        <v>363</v>
      </c>
      <c r="B35" s="11" t="s">
        <v>233</v>
      </c>
      <c r="C35" s="11" t="s">
        <v>214</v>
      </c>
      <c r="D35" s="11" t="s">
        <v>683</v>
      </c>
      <c r="E35" s="11">
        <v>1</v>
      </c>
    </row>
    <row r="36" spans="1:5" ht="24.75">
      <c r="A36" s="11" t="s">
        <v>363</v>
      </c>
      <c r="B36" s="11" t="s">
        <v>233</v>
      </c>
      <c r="C36" s="11" t="s">
        <v>214</v>
      </c>
      <c r="D36" s="11" t="s">
        <v>684</v>
      </c>
      <c r="E36" s="11">
        <v>1</v>
      </c>
    </row>
    <row r="37" spans="1:5" ht="24.75">
      <c r="A37" s="11" t="s">
        <v>363</v>
      </c>
      <c r="B37" s="11" t="s">
        <v>233</v>
      </c>
      <c r="C37" s="11" t="s">
        <v>214</v>
      </c>
      <c r="D37" s="11" t="s">
        <v>685</v>
      </c>
      <c r="E37" s="11">
        <v>1</v>
      </c>
    </row>
    <row r="38" spans="1:5" ht="24.75">
      <c r="A38" s="11" t="s">
        <v>363</v>
      </c>
      <c r="B38" s="11" t="s">
        <v>233</v>
      </c>
      <c r="C38" s="11" t="s">
        <v>214</v>
      </c>
      <c r="D38" s="11" t="s">
        <v>686</v>
      </c>
      <c r="E38" s="11">
        <v>1</v>
      </c>
    </row>
    <row r="39" spans="1:5" ht="24.75">
      <c r="A39" s="11" t="s">
        <v>363</v>
      </c>
      <c r="B39" s="11" t="s">
        <v>233</v>
      </c>
      <c r="C39" s="11" t="s">
        <v>214</v>
      </c>
      <c r="D39" s="11" t="s">
        <v>687</v>
      </c>
      <c r="E39" s="11">
        <v>1</v>
      </c>
    </row>
    <row r="40" spans="1:5" ht="24.75">
      <c r="A40" s="11" t="s">
        <v>363</v>
      </c>
      <c r="B40" s="11" t="s">
        <v>233</v>
      </c>
      <c r="C40" s="11" t="s">
        <v>214</v>
      </c>
      <c r="D40" s="11" t="s">
        <v>688</v>
      </c>
      <c r="E40" s="11">
        <v>1</v>
      </c>
    </row>
    <row r="41" spans="1:5" ht="24.75">
      <c r="A41" s="11" t="s">
        <v>363</v>
      </c>
      <c r="B41" s="11" t="s">
        <v>233</v>
      </c>
      <c r="C41" s="11" t="s">
        <v>214</v>
      </c>
      <c r="D41" s="11" t="s">
        <v>689</v>
      </c>
      <c r="E41" s="11">
        <v>1</v>
      </c>
    </row>
    <row r="42" spans="1:5" ht="24.75">
      <c r="A42" s="11" t="s">
        <v>363</v>
      </c>
      <c r="B42" s="11" t="s">
        <v>233</v>
      </c>
      <c r="C42" s="11" t="s">
        <v>214</v>
      </c>
      <c r="D42" s="11" t="s">
        <v>690</v>
      </c>
      <c r="E42" s="11">
        <v>1</v>
      </c>
    </row>
    <row r="43" spans="1:5" ht="24.75">
      <c r="A43" s="11" t="s">
        <v>363</v>
      </c>
      <c r="B43" s="11" t="s">
        <v>233</v>
      </c>
      <c r="C43" s="11" t="s">
        <v>214</v>
      </c>
      <c r="D43" s="11" t="s">
        <v>691</v>
      </c>
      <c r="E43" s="11">
        <v>1</v>
      </c>
    </row>
    <row r="44" spans="1:5" ht="24.75">
      <c r="A44" s="11" t="s">
        <v>363</v>
      </c>
      <c r="B44" s="11" t="s">
        <v>233</v>
      </c>
      <c r="C44" s="11" t="s">
        <v>214</v>
      </c>
      <c r="D44" s="11" t="s">
        <v>692</v>
      </c>
      <c r="E44" s="11">
        <v>1</v>
      </c>
    </row>
    <row r="45" spans="1:5" ht="24.75">
      <c r="A45" s="11" t="s">
        <v>363</v>
      </c>
      <c r="B45" s="11" t="s">
        <v>233</v>
      </c>
      <c r="C45" s="11" t="s">
        <v>214</v>
      </c>
      <c r="D45" s="11" t="s">
        <v>693</v>
      </c>
      <c r="E45" s="11">
        <v>1</v>
      </c>
    </row>
    <row r="46" spans="1:5" ht="24.75">
      <c r="A46" s="11" t="s">
        <v>363</v>
      </c>
      <c r="B46" s="11" t="s">
        <v>233</v>
      </c>
      <c r="C46" s="11" t="s">
        <v>214</v>
      </c>
      <c r="D46" s="11" t="s">
        <v>694</v>
      </c>
      <c r="E46" s="11">
        <v>1</v>
      </c>
    </row>
    <row r="47" spans="1:5" ht="24.75">
      <c r="A47" s="11" t="s">
        <v>363</v>
      </c>
      <c r="B47" s="11" t="s">
        <v>233</v>
      </c>
      <c r="C47" s="11" t="s">
        <v>214</v>
      </c>
      <c r="D47" s="11" t="s">
        <v>695</v>
      </c>
      <c r="E47" s="11">
        <v>1</v>
      </c>
    </row>
    <row r="48" spans="1:5" ht="24.75">
      <c r="A48" s="11" t="s">
        <v>363</v>
      </c>
      <c r="B48" s="11" t="s">
        <v>233</v>
      </c>
      <c r="C48" s="11" t="s">
        <v>214</v>
      </c>
      <c r="D48" s="11" t="s">
        <v>696</v>
      </c>
      <c r="E48" s="11">
        <v>1</v>
      </c>
    </row>
    <row r="49" spans="1:5" ht="24.75">
      <c r="A49" s="11" t="s">
        <v>363</v>
      </c>
      <c r="B49" s="11" t="s">
        <v>233</v>
      </c>
      <c r="C49" s="11" t="s">
        <v>214</v>
      </c>
      <c r="D49" s="11" t="s">
        <v>697</v>
      </c>
      <c r="E49" s="11">
        <v>1</v>
      </c>
    </row>
    <row r="50" spans="1:5" ht="24.75">
      <c r="A50" s="11" t="s">
        <v>363</v>
      </c>
      <c r="B50" s="11" t="s">
        <v>233</v>
      </c>
      <c r="C50" s="11" t="s">
        <v>214</v>
      </c>
      <c r="D50" s="11" t="s">
        <v>698</v>
      </c>
      <c r="E50" s="11">
        <v>1</v>
      </c>
    </row>
    <row r="51" spans="1:5" ht="24.75">
      <c r="A51" s="11" t="s">
        <v>363</v>
      </c>
      <c r="B51" s="11" t="s">
        <v>233</v>
      </c>
      <c r="C51" s="11" t="s">
        <v>214</v>
      </c>
      <c r="D51" s="11" t="s">
        <v>699</v>
      </c>
      <c r="E51" s="11">
        <v>1</v>
      </c>
    </row>
    <row r="52" spans="1:5" ht="24.75">
      <c r="A52" s="11" t="s">
        <v>363</v>
      </c>
      <c r="B52" s="11" t="s">
        <v>233</v>
      </c>
      <c r="C52" s="11" t="s">
        <v>214</v>
      </c>
      <c r="D52" s="11" t="s">
        <v>700</v>
      </c>
      <c r="E52" s="11">
        <v>1</v>
      </c>
    </row>
    <row r="53" spans="1:5" ht="24.75">
      <c r="A53" s="11" t="s">
        <v>363</v>
      </c>
      <c r="B53" s="11" t="s">
        <v>233</v>
      </c>
      <c r="C53" s="11" t="s">
        <v>214</v>
      </c>
      <c r="D53" s="11" t="s">
        <v>701</v>
      </c>
      <c r="E53" s="11">
        <v>1</v>
      </c>
    </row>
    <row r="54" spans="1:5" ht="24.75">
      <c r="A54" s="11" t="s">
        <v>363</v>
      </c>
      <c r="B54" s="11" t="s">
        <v>233</v>
      </c>
      <c r="C54" s="11" t="s">
        <v>214</v>
      </c>
      <c r="D54" s="11" t="s">
        <v>702</v>
      </c>
      <c r="E54" s="11">
        <v>1</v>
      </c>
    </row>
    <row r="55" spans="1:5" ht="24.75">
      <c r="A55" s="11" t="s">
        <v>363</v>
      </c>
      <c r="B55" s="11" t="s">
        <v>233</v>
      </c>
      <c r="C55" s="11" t="s">
        <v>214</v>
      </c>
      <c r="D55" s="11" t="s">
        <v>703</v>
      </c>
      <c r="E55" s="11">
        <v>1</v>
      </c>
    </row>
    <row r="56" spans="1:5" ht="24.75">
      <c r="A56" s="11" t="s">
        <v>363</v>
      </c>
      <c r="B56" s="11" t="s">
        <v>233</v>
      </c>
      <c r="C56" s="11" t="s">
        <v>214</v>
      </c>
      <c r="D56" s="11" t="s">
        <v>704</v>
      </c>
      <c r="E56" s="11">
        <v>1</v>
      </c>
    </row>
    <row r="57" spans="1:5" ht="24.75">
      <c r="A57" s="11" t="s">
        <v>363</v>
      </c>
      <c r="B57" s="11" t="s">
        <v>233</v>
      </c>
      <c r="C57" s="11" t="s">
        <v>214</v>
      </c>
      <c r="D57" s="11" t="s">
        <v>705</v>
      </c>
      <c r="E57" s="11">
        <v>1</v>
      </c>
    </row>
    <row r="58" spans="1:5">
      <c r="A58" s="1" t="s">
        <v>207</v>
      </c>
      <c r="B58" s="1" t="s">
        <v>207</v>
      </c>
      <c r="C58" s="1">
        <f>SUBTOTAL(103,Elements132131[Elemento])</f>
        <v>51</v>
      </c>
      <c r="D58" s="1" t="s">
        <v>207</v>
      </c>
      <c r="E58" s="1">
        <f>SUBTOTAL(109,Elements132131[Totais:])</f>
        <v>51</v>
      </c>
    </row>
  </sheetData>
  <mergeCells count="3">
    <mergeCell ref="A1:E2"/>
    <mergeCell ref="A4:E4"/>
    <mergeCell ref="A5:E5"/>
  </mergeCells>
  <hyperlinks>
    <hyperlink ref="A1" location="'13.2.13'!A1" display="TE DE REDUCAO 90º SOLDAVEL,COM DIAMETRO DE 50MMX25MM.FORNECI MENTO" xr:uid="{00000000-0004-0000-4000-000000000000}"/>
    <hyperlink ref="B1" location="'13.2.13'!A1" display="TE DE REDUCAO 90º SOLDAVEL,COM DIAMETRO DE 50MMX25MM.FORNECI MENTO" xr:uid="{00000000-0004-0000-4000-000001000000}"/>
    <hyperlink ref="C1" location="'13.2.13'!A1" display="TE DE REDUCAO 90º SOLDAVEL,COM DIAMETRO DE 50MMX25MM.FORNECI MENTO" xr:uid="{00000000-0004-0000-4000-000002000000}"/>
    <hyperlink ref="D1" location="'13.2.13'!A1" display="TE DE REDUCAO 90º SOLDAVEL,COM DIAMETRO DE 50MMX25MM.FORNECI MENTO" xr:uid="{00000000-0004-0000-4000-000003000000}"/>
    <hyperlink ref="E1" location="'13.2.13'!A1" display="TE DE REDUCAO 90º SOLDAVEL,COM DIAMETRO DE 50MMX25MM.FORNECI MENTO" xr:uid="{00000000-0004-0000-4000-000004000000}"/>
    <hyperlink ref="A2" location="'13.2.13'!A1" display="TE DE REDUCAO 90º SOLDAVEL,COM DIAMETRO DE 50MMX25MM.FORNECI MENTO" xr:uid="{00000000-0004-0000-4000-000005000000}"/>
    <hyperlink ref="B2" location="'13.2.13'!A1" display="TE DE REDUCAO 90º SOLDAVEL,COM DIAMETRO DE 50MMX25MM.FORNECI MENTO" xr:uid="{00000000-0004-0000-4000-000006000000}"/>
    <hyperlink ref="C2" location="'13.2.13'!A1" display="TE DE REDUCAO 90º SOLDAVEL,COM DIAMETRO DE 50MMX25MM.FORNECI MENTO" xr:uid="{00000000-0004-0000-4000-000007000000}"/>
    <hyperlink ref="D2" location="'13.2.13'!A1" display="TE DE REDUCAO 90º SOLDAVEL,COM DIAMETRO DE 50MMX25MM.FORNECI MENTO" xr:uid="{00000000-0004-0000-4000-000008000000}"/>
    <hyperlink ref="E2" location="'13.2.13'!A1" display="TE DE REDUCAO 90º SOLDAVEL,COM DIAMETRO DE 50MMX25MM.FORNECI MENTO" xr:uid="{00000000-0004-0000-4000-000009000000}"/>
    <hyperlink ref="A4" location="'13.2.13'!A1" display="Conexões de tubo" xr:uid="{00000000-0004-0000-4000-00000A000000}"/>
    <hyperlink ref="B4" location="'13.2.13'!A1" display="Conexões de tubo" xr:uid="{00000000-0004-0000-4000-00000B000000}"/>
    <hyperlink ref="C4" location="'13.2.13'!A1" display="Conexões de tubo" xr:uid="{00000000-0004-0000-4000-00000C000000}"/>
    <hyperlink ref="D4" location="'13.2.13'!A1" display="Conexões de tubo" xr:uid="{00000000-0004-0000-4000-00000D000000}"/>
    <hyperlink ref="E4" location="'13.2.13'!A1" display="Conexões de tubo" xr:uid="{00000000-0004-0000-4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dimension ref="A1:E23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67</v>
      </c>
      <c r="B1" s="23" t="s">
        <v>67</v>
      </c>
      <c r="C1" s="23" t="s">
        <v>67</v>
      </c>
      <c r="D1" s="23" t="s">
        <v>67</v>
      </c>
      <c r="E1" s="23" t="s">
        <v>67</v>
      </c>
    </row>
    <row r="2" spans="1:5">
      <c r="A2" s="23" t="s">
        <v>67</v>
      </c>
      <c r="B2" s="23" t="s">
        <v>67</v>
      </c>
      <c r="C2" s="23" t="s">
        <v>67</v>
      </c>
      <c r="D2" s="23" t="s">
        <v>67</v>
      </c>
      <c r="E2" s="23" t="s">
        <v>67</v>
      </c>
    </row>
    <row r="4" spans="1:5">
      <c r="A4" s="18" t="s">
        <v>269</v>
      </c>
      <c r="B4" s="18" t="s">
        <v>269</v>
      </c>
      <c r="C4" s="18" t="s">
        <v>269</v>
      </c>
      <c r="D4" s="18" t="s">
        <v>269</v>
      </c>
      <c r="E4" s="18" t="s">
        <v>269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706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707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708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709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710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711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214</v>
      </c>
      <c r="D13" s="11" t="s">
        <v>712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214</v>
      </c>
      <c r="D14" s="11" t="s">
        <v>713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214</v>
      </c>
      <c r="D15" s="11" t="s">
        <v>714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214</v>
      </c>
      <c r="D16" s="11" t="s">
        <v>715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214</v>
      </c>
      <c r="D17" s="11" t="s">
        <v>716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214</v>
      </c>
      <c r="D18" s="11" t="s">
        <v>717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214</v>
      </c>
      <c r="D19" s="11" t="s">
        <v>718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214</v>
      </c>
      <c r="D20" s="11" t="s">
        <v>719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214</v>
      </c>
      <c r="D21" s="11" t="s">
        <v>720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214</v>
      </c>
      <c r="D22" s="11" t="s">
        <v>721</v>
      </c>
      <c r="E22" s="11">
        <v>1</v>
      </c>
    </row>
    <row r="23" spans="1:5">
      <c r="A23" s="1" t="s">
        <v>207</v>
      </c>
      <c r="B23" s="1" t="s">
        <v>207</v>
      </c>
      <c r="C23" s="1">
        <f>SUBTOTAL(103,Elements132141[Elemento])</f>
        <v>16</v>
      </c>
      <c r="D23" s="1" t="s">
        <v>207</v>
      </c>
      <c r="E23" s="1">
        <f>SUBTOTAL(109,Elements132141[Totais:])</f>
        <v>16</v>
      </c>
    </row>
  </sheetData>
  <mergeCells count="3">
    <mergeCell ref="A1:E2"/>
    <mergeCell ref="A4:E4"/>
    <mergeCell ref="A5:E5"/>
  </mergeCells>
  <hyperlinks>
    <hyperlink ref="A1" location="'13.2.14'!A1" display="TE SOLDAVEL 90º,COM DIAMETRO DE 25MM.FORNECIMENTO" xr:uid="{00000000-0004-0000-4100-000000000000}"/>
    <hyperlink ref="B1" location="'13.2.14'!A1" display="TE SOLDAVEL 90º,COM DIAMETRO DE 25MM.FORNECIMENTO" xr:uid="{00000000-0004-0000-4100-000001000000}"/>
    <hyperlink ref="C1" location="'13.2.14'!A1" display="TE SOLDAVEL 90º,COM DIAMETRO DE 25MM.FORNECIMENTO" xr:uid="{00000000-0004-0000-4100-000002000000}"/>
    <hyperlink ref="D1" location="'13.2.14'!A1" display="TE SOLDAVEL 90º,COM DIAMETRO DE 25MM.FORNECIMENTO" xr:uid="{00000000-0004-0000-4100-000003000000}"/>
    <hyperlink ref="E1" location="'13.2.14'!A1" display="TE SOLDAVEL 90º,COM DIAMETRO DE 25MM.FORNECIMENTO" xr:uid="{00000000-0004-0000-4100-000004000000}"/>
    <hyperlink ref="A2" location="'13.2.14'!A1" display="TE SOLDAVEL 90º,COM DIAMETRO DE 25MM.FORNECIMENTO" xr:uid="{00000000-0004-0000-4100-000005000000}"/>
    <hyperlink ref="B2" location="'13.2.14'!A1" display="TE SOLDAVEL 90º,COM DIAMETRO DE 25MM.FORNECIMENTO" xr:uid="{00000000-0004-0000-4100-000006000000}"/>
    <hyperlink ref="C2" location="'13.2.14'!A1" display="TE SOLDAVEL 90º,COM DIAMETRO DE 25MM.FORNECIMENTO" xr:uid="{00000000-0004-0000-4100-000007000000}"/>
    <hyperlink ref="D2" location="'13.2.14'!A1" display="TE SOLDAVEL 90º,COM DIAMETRO DE 25MM.FORNECIMENTO" xr:uid="{00000000-0004-0000-4100-000008000000}"/>
    <hyperlink ref="E2" location="'13.2.14'!A1" display="TE SOLDAVEL 90º,COM DIAMETRO DE 25MM.FORNECIMENTO" xr:uid="{00000000-0004-0000-4100-000009000000}"/>
    <hyperlink ref="A4" location="'13.2.14'!A1" display="Conexões de tubo" xr:uid="{00000000-0004-0000-4100-00000A000000}"/>
    <hyperlink ref="B4" location="'13.2.14'!A1" display="Conexões de tubo" xr:uid="{00000000-0004-0000-4100-00000B000000}"/>
    <hyperlink ref="C4" location="'13.2.14'!A1" display="Conexões de tubo" xr:uid="{00000000-0004-0000-4100-00000C000000}"/>
    <hyperlink ref="D4" location="'13.2.14'!A1" display="Conexões de tubo" xr:uid="{00000000-0004-0000-4100-00000D000000}"/>
    <hyperlink ref="E4" location="'13.2.14'!A1" display="Conexões de tubo" xr:uid="{00000000-0004-0000-4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dimension ref="A1:E5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71</v>
      </c>
      <c r="B1" s="23" t="s">
        <v>71</v>
      </c>
      <c r="C1" s="23" t="s">
        <v>71</v>
      </c>
      <c r="D1" s="23" t="s">
        <v>71</v>
      </c>
      <c r="E1" s="23" t="s">
        <v>71</v>
      </c>
    </row>
    <row r="2" spans="1:5">
      <c r="A2" s="23" t="s">
        <v>71</v>
      </c>
      <c r="B2" s="23" t="s">
        <v>71</v>
      </c>
      <c r="C2" s="23" t="s">
        <v>71</v>
      </c>
      <c r="D2" s="23" t="s">
        <v>71</v>
      </c>
      <c r="E2" s="23" t="s">
        <v>71</v>
      </c>
    </row>
    <row r="4" spans="1:5">
      <c r="A4" s="18" t="s">
        <v>269</v>
      </c>
      <c r="B4" s="18" t="s">
        <v>269</v>
      </c>
      <c r="C4" s="18" t="s">
        <v>269</v>
      </c>
      <c r="D4" s="18" t="s">
        <v>269</v>
      </c>
      <c r="E4" s="18" t="s">
        <v>269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722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723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724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725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726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727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214</v>
      </c>
      <c r="D13" s="11" t="s">
        <v>728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214</v>
      </c>
      <c r="D14" s="11" t="s">
        <v>729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214</v>
      </c>
      <c r="D15" s="11" t="s">
        <v>730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214</v>
      </c>
      <c r="D16" s="11" t="s">
        <v>731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214</v>
      </c>
      <c r="D17" s="11" t="s">
        <v>732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214</v>
      </c>
      <c r="D18" s="11" t="s">
        <v>733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214</v>
      </c>
      <c r="D19" s="11" t="s">
        <v>734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214</v>
      </c>
      <c r="D20" s="11" t="s">
        <v>735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214</v>
      </c>
      <c r="D21" s="11" t="s">
        <v>736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214</v>
      </c>
      <c r="D22" s="11" t="s">
        <v>737</v>
      </c>
      <c r="E22" s="11">
        <v>1</v>
      </c>
    </row>
    <row r="23" spans="1:5" ht="24.75">
      <c r="A23" s="11" t="s">
        <v>363</v>
      </c>
      <c r="B23" s="11" t="s">
        <v>233</v>
      </c>
      <c r="C23" s="11" t="s">
        <v>214</v>
      </c>
      <c r="D23" s="11" t="s">
        <v>738</v>
      </c>
      <c r="E23" s="11">
        <v>1</v>
      </c>
    </row>
    <row r="24" spans="1:5" ht="24.75">
      <c r="A24" s="11" t="s">
        <v>363</v>
      </c>
      <c r="B24" s="11" t="s">
        <v>233</v>
      </c>
      <c r="C24" s="11" t="s">
        <v>214</v>
      </c>
      <c r="D24" s="11" t="s">
        <v>739</v>
      </c>
      <c r="E24" s="11">
        <v>1</v>
      </c>
    </row>
    <row r="25" spans="1:5" ht="24.75">
      <c r="A25" s="11" t="s">
        <v>363</v>
      </c>
      <c r="B25" s="11" t="s">
        <v>233</v>
      </c>
      <c r="C25" s="11" t="s">
        <v>214</v>
      </c>
      <c r="D25" s="11" t="s">
        <v>740</v>
      </c>
      <c r="E25" s="11">
        <v>1</v>
      </c>
    </row>
    <row r="26" spans="1:5" ht="24.75">
      <c r="A26" s="11" t="s">
        <v>363</v>
      </c>
      <c r="B26" s="11" t="s">
        <v>233</v>
      </c>
      <c r="C26" s="11" t="s">
        <v>214</v>
      </c>
      <c r="D26" s="11" t="s">
        <v>741</v>
      </c>
      <c r="E26" s="11">
        <v>1</v>
      </c>
    </row>
    <row r="27" spans="1:5" ht="24.75">
      <c r="A27" s="11" t="s">
        <v>363</v>
      </c>
      <c r="B27" s="11" t="s">
        <v>233</v>
      </c>
      <c r="C27" s="11" t="s">
        <v>214</v>
      </c>
      <c r="D27" s="11" t="s">
        <v>742</v>
      </c>
      <c r="E27" s="11">
        <v>1</v>
      </c>
    </row>
    <row r="28" spans="1:5" ht="24.75">
      <c r="A28" s="11" t="s">
        <v>363</v>
      </c>
      <c r="B28" s="11" t="s">
        <v>233</v>
      </c>
      <c r="C28" s="11" t="s">
        <v>214</v>
      </c>
      <c r="D28" s="11" t="s">
        <v>743</v>
      </c>
      <c r="E28" s="11">
        <v>1</v>
      </c>
    </row>
    <row r="29" spans="1:5" ht="24.75">
      <c r="A29" s="11" t="s">
        <v>363</v>
      </c>
      <c r="B29" s="11" t="s">
        <v>233</v>
      </c>
      <c r="C29" s="11" t="s">
        <v>214</v>
      </c>
      <c r="D29" s="11" t="s">
        <v>744</v>
      </c>
      <c r="E29" s="11">
        <v>1</v>
      </c>
    </row>
    <row r="30" spans="1:5" ht="24.75">
      <c r="A30" s="11" t="s">
        <v>363</v>
      </c>
      <c r="B30" s="11" t="s">
        <v>233</v>
      </c>
      <c r="C30" s="11" t="s">
        <v>214</v>
      </c>
      <c r="D30" s="11" t="s">
        <v>745</v>
      </c>
      <c r="E30" s="11">
        <v>1</v>
      </c>
    </row>
    <row r="31" spans="1:5" ht="24.75">
      <c r="A31" s="11" t="s">
        <v>363</v>
      </c>
      <c r="B31" s="11" t="s">
        <v>233</v>
      </c>
      <c r="C31" s="11" t="s">
        <v>214</v>
      </c>
      <c r="D31" s="11" t="s">
        <v>746</v>
      </c>
      <c r="E31" s="11">
        <v>1</v>
      </c>
    </row>
    <row r="32" spans="1:5" ht="24.75">
      <c r="A32" s="11" t="s">
        <v>363</v>
      </c>
      <c r="B32" s="11" t="s">
        <v>233</v>
      </c>
      <c r="C32" s="11" t="s">
        <v>214</v>
      </c>
      <c r="D32" s="11" t="s">
        <v>747</v>
      </c>
      <c r="E32" s="11">
        <v>1</v>
      </c>
    </row>
    <row r="33" spans="1:5" ht="24.75">
      <c r="A33" s="11" t="s">
        <v>363</v>
      </c>
      <c r="B33" s="11" t="s">
        <v>233</v>
      </c>
      <c r="C33" s="11" t="s">
        <v>214</v>
      </c>
      <c r="D33" s="11" t="s">
        <v>748</v>
      </c>
      <c r="E33" s="11">
        <v>1</v>
      </c>
    </row>
    <row r="34" spans="1:5" ht="24.75">
      <c r="A34" s="11" t="s">
        <v>363</v>
      </c>
      <c r="B34" s="11" t="s">
        <v>233</v>
      </c>
      <c r="C34" s="11" t="s">
        <v>214</v>
      </c>
      <c r="D34" s="11" t="s">
        <v>749</v>
      </c>
      <c r="E34" s="11">
        <v>1</v>
      </c>
    </row>
    <row r="35" spans="1:5" ht="24.75">
      <c r="A35" s="11" t="s">
        <v>363</v>
      </c>
      <c r="B35" s="11" t="s">
        <v>233</v>
      </c>
      <c r="C35" s="11" t="s">
        <v>214</v>
      </c>
      <c r="D35" s="11" t="s">
        <v>750</v>
      </c>
      <c r="E35" s="11">
        <v>1</v>
      </c>
    </row>
    <row r="36" spans="1:5" ht="24.75">
      <c r="A36" s="11" t="s">
        <v>363</v>
      </c>
      <c r="B36" s="11" t="s">
        <v>233</v>
      </c>
      <c r="C36" s="11" t="s">
        <v>214</v>
      </c>
      <c r="D36" s="11" t="s">
        <v>751</v>
      </c>
      <c r="E36" s="11">
        <v>1</v>
      </c>
    </row>
    <row r="37" spans="1:5" ht="24.75">
      <c r="A37" s="11" t="s">
        <v>363</v>
      </c>
      <c r="B37" s="11" t="s">
        <v>233</v>
      </c>
      <c r="C37" s="11" t="s">
        <v>214</v>
      </c>
      <c r="D37" s="11" t="s">
        <v>752</v>
      </c>
      <c r="E37" s="11">
        <v>1</v>
      </c>
    </row>
    <row r="38" spans="1:5" ht="24.75">
      <c r="A38" s="11" t="s">
        <v>363</v>
      </c>
      <c r="B38" s="11" t="s">
        <v>233</v>
      </c>
      <c r="C38" s="11" t="s">
        <v>214</v>
      </c>
      <c r="D38" s="11" t="s">
        <v>753</v>
      </c>
      <c r="E38" s="11">
        <v>1</v>
      </c>
    </row>
    <row r="39" spans="1:5" ht="24.75">
      <c r="A39" s="11" t="s">
        <v>363</v>
      </c>
      <c r="B39" s="11" t="s">
        <v>233</v>
      </c>
      <c r="C39" s="11" t="s">
        <v>214</v>
      </c>
      <c r="D39" s="11" t="s">
        <v>754</v>
      </c>
      <c r="E39" s="11">
        <v>1</v>
      </c>
    </row>
    <row r="40" spans="1:5" ht="24.75">
      <c r="A40" s="11" t="s">
        <v>363</v>
      </c>
      <c r="B40" s="11" t="s">
        <v>233</v>
      </c>
      <c r="C40" s="11" t="s">
        <v>214</v>
      </c>
      <c r="D40" s="11" t="s">
        <v>755</v>
      </c>
      <c r="E40" s="11">
        <v>1</v>
      </c>
    </row>
    <row r="41" spans="1:5" ht="24.75">
      <c r="A41" s="11" t="s">
        <v>363</v>
      </c>
      <c r="B41" s="11" t="s">
        <v>233</v>
      </c>
      <c r="C41" s="11" t="s">
        <v>214</v>
      </c>
      <c r="D41" s="11" t="s">
        <v>756</v>
      </c>
      <c r="E41" s="11">
        <v>1</v>
      </c>
    </row>
    <row r="42" spans="1:5" ht="24.75">
      <c r="A42" s="11" t="s">
        <v>363</v>
      </c>
      <c r="B42" s="11" t="s">
        <v>233</v>
      </c>
      <c r="C42" s="11" t="s">
        <v>214</v>
      </c>
      <c r="D42" s="11" t="s">
        <v>757</v>
      </c>
      <c r="E42" s="11">
        <v>1</v>
      </c>
    </row>
    <row r="43" spans="1:5" ht="24.75">
      <c r="A43" s="11" t="s">
        <v>363</v>
      </c>
      <c r="B43" s="11" t="s">
        <v>233</v>
      </c>
      <c r="C43" s="11" t="s">
        <v>214</v>
      </c>
      <c r="D43" s="11" t="s">
        <v>758</v>
      </c>
      <c r="E43" s="11">
        <v>1</v>
      </c>
    </row>
    <row r="44" spans="1:5" ht="24.75">
      <c r="A44" s="11" t="s">
        <v>363</v>
      </c>
      <c r="B44" s="11" t="s">
        <v>233</v>
      </c>
      <c r="C44" s="11" t="s">
        <v>214</v>
      </c>
      <c r="D44" s="11" t="s">
        <v>759</v>
      </c>
      <c r="E44" s="11">
        <v>1</v>
      </c>
    </row>
    <row r="45" spans="1:5" ht="24.75">
      <c r="A45" s="11" t="s">
        <v>363</v>
      </c>
      <c r="B45" s="11" t="s">
        <v>233</v>
      </c>
      <c r="C45" s="11" t="s">
        <v>214</v>
      </c>
      <c r="D45" s="11" t="s">
        <v>760</v>
      </c>
      <c r="E45" s="11">
        <v>1</v>
      </c>
    </row>
    <row r="46" spans="1:5" ht="24.75">
      <c r="A46" s="11" t="s">
        <v>363</v>
      </c>
      <c r="B46" s="11" t="s">
        <v>233</v>
      </c>
      <c r="C46" s="11" t="s">
        <v>214</v>
      </c>
      <c r="D46" s="11" t="s">
        <v>761</v>
      </c>
      <c r="E46" s="11">
        <v>1</v>
      </c>
    </row>
    <row r="47" spans="1:5" ht="24.75">
      <c r="A47" s="11" t="s">
        <v>363</v>
      </c>
      <c r="B47" s="11" t="s">
        <v>233</v>
      </c>
      <c r="C47" s="11" t="s">
        <v>214</v>
      </c>
      <c r="D47" s="11" t="s">
        <v>762</v>
      </c>
      <c r="E47" s="11">
        <v>1</v>
      </c>
    </row>
    <row r="48" spans="1:5" ht="24.75">
      <c r="A48" s="11" t="s">
        <v>363</v>
      </c>
      <c r="B48" s="11" t="s">
        <v>233</v>
      </c>
      <c r="C48" s="11" t="s">
        <v>214</v>
      </c>
      <c r="D48" s="11" t="s">
        <v>763</v>
      </c>
      <c r="E48" s="11">
        <v>1</v>
      </c>
    </row>
    <row r="49" spans="1:5" ht="24.75">
      <c r="A49" s="11" t="s">
        <v>363</v>
      </c>
      <c r="B49" s="11" t="s">
        <v>233</v>
      </c>
      <c r="C49" s="11" t="s">
        <v>214</v>
      </c>
      <c r="D49" s="11" t="s">
        <v>764</v>
      </c>
      <c r="E49" s="11">
        <v>1</v>
      </c>
    </row>
    <row r="50" spans="1:5">
      <c r="A50" s="1" t="s">
        <v>207</v>
      </c>
      <c r="B50" s="1" t="s">
        <v>207</v>
      </c>
      <c r="C50" s="1">
        <f>SUBTOTAL(103,Elements132151[Elemento])</f>
        <v>43</v>
      </c>
      <c r="D50" s="1" t="s">
        <v>207</v>
      </c>
      <c r="E50" s="1">
        <f>SUBTOTAL(109,Elements132151[Totais:])</f>
        <v>43</v>
      </c>
    </row>
  </sheetData>
  <mergeCells count="3">
    <mergeCell ref="A1:E2"/>
    <mergeCell ref="A4:E4"/>
    <mergeCell ref="A5:E5"/>
  </mergeCells>
  <hyperlinks>
    <hyperlink ref="A1" location="'13.2.15'!A1" display="TE SOLDAVEL 90º,COM DIAMETRO DE 50MM.FORNECIMENTO" xr:uid="{00000000-0004-0000-4200-000000000000}"/>
    <hyperlink ref="B1" location="'13.2.15'!A1" display="TE SOLDAVEL 90º,COM DIAMETRO DE 50MM.FORNECIMENTO" xr:uid="{00000000-0004-0000-4200-000001000000}"/>
    <hyperlink ref="C1" location="'13.2.15'!A1" display="TE SOLDAVEL 90º,COM DIAMETRO DE 50MM.FORNECIMENTO" xr:uid="{00000000-0004-0000-4200-000002000000}"/>
    <hyperlink ref="D1" location="'13.2.15'!A1" display="TE SOLDAVEL 90º,COM DIAMETRO DE 50MM.FORNECIMENTO" xr:uid="{00000000-0004-0000-4200-000003000000}"/>
    <hyperlink ref="E1" location="'13.2.15'!A1" display="TE SOLDAVEL 90º,COM DIAMETRO DE 50MM.FORNECIMENTO" xr:uid="{00000000-0004-0000-4200-000004000000}"/>
    <hyperlink ref="A2" location="'13.2.15'!A1" display="TE SOLDAVEL 90º,COM DIAMETRO DE 50MM.FORNECIMENTO" xr:uid="{00000000-0004-0000-4200-000005000000}"/>
    <hyperlink ref="B2" location="'13.2.15'!A1" display="TE SOLDAVEL 90º,COM DIAMETRO DE 50MM.FORNECIMENTO" xr:uid="{00000000-0004-0000-4200-000006000000}"/>
    <hyperlink ref="C2" location="'13.2.15'!A1" display="TE SOLDAVEL 90º,COM DIAMETRO DE 50MM.FORNECIMENTO" xr:uid="{00000000-0004-0000-4200-000007000000}"/>
    <hyperlink ref="D2" location="'13.2.15'!A1" display="TE SOLDAVEL 90º,COM DIAMETRO DE 50MM.FORNECIMENTO" xr:uid="{00000000-0004-0000-4200-000008000000}"/>
    <hyperlink ref="E2" location="'13.2.15'!A1" display="TE SOLDAVEL 90º,COM DIAMETRO DE 50MM.FORNECIMENTO" xr:uid="{00000000-0004-0000-4200-000009000000}"/>
    <hyperlink ref="A4" location="'13.2.15'!A1" display="Conexões de tubo" xr:uid="{00000000-0004-0000-4200-00000A000000}"/>
    <hyperlink ref="B4" location="'13.2.15'!A1" display="Conexões de tubo" xr:uid="{00000000-0004-0000-4200-00000B000000}"/>
    <hyperlink ref="C4" location="'13.2.15'!A1" display="Conexões de tubo" xr:uid="{00000000-0004-0000-4200-00000C000000}"/>
    <hyperlink ref="D4" location="'13.2.15'!A1" display="Conexões de tubo" xr:uid="{00000000-0004-0000-4200-00000D000000}"/>
    <hyperlink ref="E4" location="'13.2.15'!A1" display="Conexões de tubo" xr:uid="{00000000-0004-0000-4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dimension ref="A1:E4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75</v>
      </c>
      <c r="B1" s="23" t="s">
        <v>75</v>
      </c>
      <c r="C1" s="23" t="s">
        <v>75</v>
      </c>
      <c r="D1" s="23" t="s">
        <v>75</v>
      </c>
      <c r="E1" s="23" t="s">
        <v>75</v>
      </c>
    </row>
    <row r="2" spans="1:5">
      <c r="A2" s="23" t="s">
        <v>75</v>
      </c>
      <c r="B2" s="23" t="s">
        <v>75</v>
      </c>
      <c r="C2" s="23" t="s">
        <v>75</v>
      </c>
      <c r="D2" s="23" t="s">
        <v>75</v>
      </c>
      <c r="E2" s="23" t="s">
        <v>75</v>
      </c>
    </row>
    <row r="4" spans="1:5">
      <c r="A4" s="18" t="s">
        <v>269</v>
      </c>
      <c r="B4" s="18" t="s">
        <v>269</v>
      </c>
      <c r="C4" s="18" t="s">
        <v>269</v>
      </c>
      <c r="D4" s="18" t="s">
        <v>269</v>
      </c>
      <c r="E4" s="18" t="s">
        <v>269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765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766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767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768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769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770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214</v>
      </c>
      <c r="D13" s="11" t="s">
        <v>771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214</v>
      </c>
      <c r="D14" s="11" t="s">
        <v>772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214</v>
      </c>
      <c r="D15" s="11" t="s">
        <v>773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214</v>
      </c>
      <c r="D16" s="11" t="s">
        <v>774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214</v>
      </c>
      <c r="D17" s="11" t="s">
        <v>775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214</v>
      </c>
      <c r="D18" s="11" t="s">
        <v>776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214</v>
      </c>
      <c r="D19" s="11" t="s">
        <v>777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214</v>
      </c>
      <c r="D20" s="11" t="s">
        <v>778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214</v>
      </c>
      <c r="D21" s="11" t="s">
        <v>779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214</v>
      </c>
      <c r="D22" s="11" t="s">
        <v>780</v>
      </c>
      <c r="E22" s="11">
        <v>1</v>
      </c>
    </row>
    <row r="23" spans="1:5" ht="24.75">
      <c r="A23" s="11" t="s">
        <v>363</v>
      </c>
      <c r="B23" s="11" t="s">
        <v>233</v>
      </c>
      <c r="C23" s="11" t="s">
        <v>214</v>
      </c>
      <c r="D23" s="11" t="s">
        <v>781</v>
      </c>
      <c r="E23" s="11">
        <v>1</v>
      </c>
    </row>
    <row r="24" spans="1:5" ht="24.75">
      <c r="A24" s="11" t="s">
        <v>363</v>
      </c>
      <c r="B24" s="11" t="s">
        <v>233</v>
      </c>
      <c r="C24" s="11" t="s">
        <v>214</v>
      </c>
      <c r="D24" s="11" t="s">
        <v>782</v>
      </c>
      <c r="E24" s="11">
        <v>1</v>
      </c>
    </row>
    <row r="25" spans="1:5" ht="24.75">
      <c r="A25" s="11" t="s">
        <v>363</v>
      </c>
      <c r="B25" s="11" t="s">
        <v>233</v>
      </c>
      <c r="C25" s="11" t="s">
        <v>214</v>
      </c>
      <c r="D25" s="11" t="s">
        <v>783</v>
      </c>
      <c r="E25" s="11">
        <v>1</v>
      </c>
    </row>
    <row r="26" spans="1:5" ht="24.75">
      <c r="A26" s="11" t="s">
        <v>363</v>
      </c>
      <c r="B26" s="11" t="s">
        <v>233</v>
      </c>
      <c r="C26" s="11" t="s">
        <v>214</v>
      </c>
      <c r="D26" s="11" t="s">
        <v>784</v>
      </c>
      <c r="E26" s="11">
        <v>1</v>
      </c>
    </row>
    <row r="27" spans="1:5" ht="24.75">
      <c r="A27" s="11" t="s">
        <v>363</v>
      </c>
      <c r="B27" s="11" t="s">
        <v>233</v>
      </c>
      <c r="C27" s="11" t="s">
        <v>214</v>
      </c>
      <c r="D27" s="11" t="s">
        <v>785</v>
      </c>
      <c r="E27" s="11">
        <v>1</v>
      </c>
    </row>
    <row r="28" spans="1:5" ht="24.75">
      <c r="A28" s="11" t="s">
        <v>363</v>
      </c>
      <c r="B28" s="11" t="s">
        <v>233</v>
      </c>
      <c r="C28" s="11" t="s">
        <v>214</v>
      </c>
      <c r="D28" s="11" t="s">
        <v>786</v>
      </c>
      <c r="E28" s="11">
        <v>1</v>
      </c>
    </row>
    <row r="29" spans="1:5" ht="24.75">
      <c r="A29" s="11" t="s">
        <v>363</v>
      </c>
      <c r="B29" s="11" t="s">
        <v>233</v>
      </c>
      <c r="C29" s="11" t="s">
        <v>214</v>
      </c>
      <c r="D29" s="11" t="s">
        <v>787</v>
      </c>
      <c r="E29" s="11">
        <v>1</v>
      </c>
    </row>
    <row r="30" spans="1:5" ht="24.75">
      <c r="A30" s="11" t="s">
        <v>363</v>
      </c>
      <c r="B30" s="11" t="s">
        <v>233</v>
      </c>
      <c r="C30" s="11" t="s">
        <v>214</v>
      </c>
      <c r="D30" s="11" t="s">
        <v>788</v>
      </c>
      <c r="E30" s="11">
        <v>1</v>
      </c>
    </row>
    <row r="31" spans="1:5" ht="24.75">
      <c r="A31" s="11" t="s">
        <v>363</v>
      </c>
      <c r="B31" s="11" t="s">
        <v>233</v>
      </c>
      <c r="C31" s="11" t="s">
        <v>214</v>
      </c>
      <c r="D31" s="11" t="s">
        <v>789</v>
      </c>
      <c r="E31" s="11">
        <v>1</v>
      </c>
    </row>
    <row r="32" spans="1:5" ht="24.75">
      <c r="A32" s="11" t="s">
        <v>363</v>
      </c>
      <c r="B32" s="11" t="s">
        <v>233</v>
      </c>
      <c r="C32" s="11" t="s">
        <v>214</v>
      </c>
      <c r="D32" s="11" t="s">
        <v>790</v>
      </c>
      <c r="E32" s="11">
        <v>1</v>
      </c>
    </row>
    <row r="33" spans="1:5" ht="24.75">
      <c r="A33" s="11" t="s">
        <v>363</v>
      </c>
      <c r="B33" s="11" t="s">
        <v>233</v>
      </c>
      <c r="C33" s="11" t="s">
        <v>214</v>
      </c>
      <c r="D33" s="11" t="s">
        <v>791</v>
      </c>
      <c r="E33" s="11">
        <v>1</v>
      </c>
    </row>
    <row r="34" spans="1:5" ht="24.75">
      <c r="A34" s="11" t="s">
        <v>363</v>
      </c>
      <c r="B34" s="11" t="s">
        <v>233</v>
      </c>
      <c r="C34" s="11" t="s">
        <v>214</v>
      </c>
      <c r="D34" s="11" t="s">
        <v>792</v>
      </c>
      <c r="E34" s="11">
        <v>1</v>
      </c>
    </row>
    <row r="35" spans="1:5" ht="24.75">
      <c r="A35" s="11" t="s">
        <v>363</v>
      </c>
      <c r="B35" s="11" t="s">
        <v>233</v>
      </c>
      <c r="C35" s="11" t="s">
        <v>214</v>
      </c>
      <c r="D35" s="11" t="s">
        <v>793</v>
      </c>
      <c r="E35" s="11">
        <v>1</v>
      </c>
    </row>
    <row r="36" spans="1:5" ht="24.75">
      <c r="A36" s="11" t="s">
        <v>363</v>
      </c>
      <c r="B36" s="11" t="s">
        <v>233</v>
      </c>
      <c r="C36" s="11" t="s">
        <v>214</v>
      </c>
      <c r="D36" s="11" t="s">
        <v>794</v>
      </c>
      <c r="E36" s="11">
        <v>1</v>
      </c>
    </row>
    <row r="37" spans="1:5" ht="24.75">
      <c r="A37" s="11" t="s">
        <v>363</v>
      </c>
      <c r="B37" s="11" t="s">
        <v>233</v>
      </c>
      <c r="C37" s="11" t="s">
        <v>214</v>
      </c>
      <c r="D37" s="11" t="s">
        <v>795</v>
      </c>
      <c r="E37" s="11">
        <v>1</v>
      </c>
    </row>
    <row r="38" spans="1:5" ht="24.75">
      <c r="A38" s="11" t="s">
        <v>363</v>
      </c>
      <c r="B38" s="11" t="s">
        <v>233</v>
      </c>
      <c r="C38" s="11" t="s">
        <v>214</v>
      </c>
      <c r="D38" s="11" t="s">
        <v>796</v>
      </c>
      <c r="E38" s="11">
        <v>1</v>
      </c>
    </row>
    <row r="39" spans="1:5" ht="24.75">
      <c r="A39" s="11" t="s">
        <v>363</v>
      </c>
      <c r="B39" s="11" t="s">
        <v>233</v>
      </c>
      <c r="C39" s="11" t="s">
        <v>214</v>
      </c>
      <c r="D39" s="11" t="s">
        <v>797</v>
      </c>
      <c r="E39" s="11">
        <v>1</v>
      </c>
    </row>
    <row r="40" spans="1:5">
      <c r="A40" s="1" t="s">
        <v>207</v>
      </c>
      <c r="B40" s="1" t="s">
        <v>207</v>
      </c>
      <c r="C40" s="1">
        <f>SUBTOTAL(103,Elements132161[Elemento])</f>
        <v>33</v>
      </c>
      <c r="D40" s="1" t="s">
        <v>207</v>
      </c>
      <c r="E40" s="1">
        <f>SUBTOTAL(109,Elements132161[Totais:])</f>
        <v>33</v>
      </c>
    </row>
  </sheetData>
  <mergeCells count="3">
    <mergeCell ref="A1:E2"/>
    <mergeCell ref="A4:E4"/>
    <mergeCell ref="A5:E5"/>
  </mergeCells>
  <hyperlinks>
    <hyperlink ref="A1" location="'13.2.16'!A1" display="TE SOLDAVEL 90º,COM DIAMETRO DE 60MM.FORNECIMENTO" xr:uid="{00000000-0004-0000-4300-000000000000}"/>
    <hyperlink ref="B1" location="'13.2.16'!A1" display="TE SOLDAVEL 90º,COM DIAMETRO DE 60MM.FORNECIMENTO" xr:uid="{00000000-0004-0000-4300-000001000000}"/>
    <hyperlink ref="C1" location="'13.2.16'!A1" display="TE SOLDAVEL 90º,COM DIAMETRO DE 60MM.FORNECIMENTO" xr:uid="{00000000-0004-0000-4300-000002000000}"/>
    <hyperlink ref="D1" location="'13.2.16'!A1" display="TE SOLDAVEL 90º,COM DIAMETRO DE 60MM.FORNECIMENTO" xr:uid="{00000000-0004-0000-4300-000003000000}"/>
    <hyperlink ref="E1" location="'13.2.16'!A1" display="TE SOLDAVEL 90º,COM DIAMETRO DE 60MM.FORNECIMENTO" xr:uid="{00000000-0004-0000-4300-000004000000}"/>
    <hyperlink ref="A2" location="'13.2.16'!A1" display="TE SOLDAVEL 90º,COM DIAMETRO DE 60MM.FORNECIMENTO" xr:uid="{00000000-0004-0000-4300-000005000000}"/>
    <hyperlink ref="B2" location="'13.2.16'!A1" display="TE SOLDAVEL 90º,COM DIAMETRO DE 60MM.FORNECIMENTO" xr:uid="{00000000-0004-0000-4300-000006000000}"/>
    <hyperlink ref="C2" location="'13.2.16'!A1" display="TE SOLDAVEL 90º,COM DIAMETRO DE 60MM.FORNECIMENTO" xr:uid="{00000000-0004-0000-4300-000007000000}"/>
    <hyperlink ref="D2" location="'13.2.16'!A1" display="TE SOLDAVEL 90º,COM DIAMETRO DE 60MM.FORNECIMENTO" xr:uid="{00000000-0004-0000-4300-000008000000}"/>
    <hyperlink ref="E2" location="'13.2.16'!A1" display="TE SOLDAVEL 90º,COM DIAMETRO DE 60MM.FORNECIMENTO" xr:uid="{00000000-0004-0000-4300-000009000000}"/>
    <hyperlink ref="A4" location="'13.2.16'!A1" display="Conexões de tubo" xr:uid="{00000000-0004-0000-4300-00000A000000}"/>
    <hyperlink ref="B4" location="'13.2.16'!A1" display="Conexões de tubo" xr:uid="{00000000-0004-0000-4300-00000B000000}"/>
    <hyperlink ref="C4" location="'13.2.16'!A1" display="Conexões de tubo" xr:uid="{00000000-0004-0000-4300-00000C000000}"/>
    <hyperlink ref="D4" location="'13.2.16'!A1" display="Conexões de tubo" xr:uid="{00000000-0004-0000-4300-00000D000000}"/>
    <hyperlink ref="E4" location="'13.2.16'!A1" display="Conexões de tubo" xr:uid="{00000000-0004-0000-4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dimension ref="A1:E6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79</v>
      </c>
      <c r="B1" s="23" t="s">
        <v>79</v>
      </c>
      <c r="C1" s="23" t="s">
        <v>79</v>
      </c>
      <c r="D1" s="23" t="s">
        <v>79</v>
      </c>
      <c r="E1" s="23" t="s">
        <v>79</v>
      </c>
    </row>
    <row r="2" spans="1:5">
      <c r="A2" s="23" t="s">
        <v>79</v>
      </c>
      <c r="B2" s="23" t="s">
        <v>79</v>
      </c>
      <c r="C2" s="23" t="s">
        <v>79</v>
      </c>
      <c r="D2" s="23" t="s">
        <v>79</v>
      </c>
      <c r="E2" s="23" t="s">
        <v>79</v>
      </c>
    </row>
    <row r="4" spans="1:5">
      <c r="A4" s="18" t="s">
        <v>206</v>
      </c>
      <c r="B4" s="18" t="s">
        <v>206</v>
      </c>
      <c r="C4" s="18" t="s">
        <v>206</v>
      </c>
      <c r="D4" s="18" t="s">
        <v>206</v>
      </c>
      <c r="E4" s="18" t="s">
        <v>206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798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799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800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801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802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803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214</v>
      </c>
      <c r="D13" s="11" t="s">
        <v>804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214</v>
      </c>
      <c r="D14" s="11" t="s">
        <v>805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214</v>
      </c>
      <c r="D15" s="11" t="s">
        <v>806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214</v>
      </c>
      <c r="D16" s="11" t="s">
        <v>807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214</v>
      </c>
      <c r="D17" s="11" t="s">
        <v>808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214</v>
      </c>
      <c r="D18" s="11" t="s">
        <v>809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214</v>
      </c>
      <c r="D19" s="11" t="s">
        <v>810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214</v>
      </c>
      <c r="D20" s="11" t="s">
        <v>811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214</v>
      </c>
      <c r="D21" s="11" t="s">
        <v>812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214</v>
      </c>
      <c r="D22" s="11" t="s">
        <v>813</v>
      </c>
      <c r="E22" s="11">
        <v>1</v>
      </c>
    </row>
    <row r="23" spans="1:5" ht="24.75">
      <c r="A23" s="11" t="s">
        <v>363</v>
      </c>
      <c r="B23" s="11" t="s">
        <v>233</v>
      </c>
      <c r="C23" s="11" t="s">
        <v>214</v>
      </c>
      <c r="D23" s="11" t="s">
        <v>814</v>
      </c>
      <c r="E23" s="11">
        <v>1</v>
      </c>
    </row>
    <row r="24" spans="1:5" ht="24.75">
      <c r="A24" s="11" t="s">
        <v>363</v>
      </c>
      <c r="B24" s="11" t="s">
        <v>233</v>
      </c>
      <c r="C24" s="11" t="s">
        <v>214</v>
      </c>
      <c r="D24" s="11" t="s">
        <v>815</v>
      </c>
      <c r="E24" s="11">
        <v>1</v>
      </c>
    </row>
    <row r="25" spans="1:5" ht="24.75">
      <c r="A25" s="11" t="s">
        <v>363</v>
      </c>
      <c r="B25" s="11" t="s">
        <v>233</v>
      </c>
      <c r="C25" s="11" t="s">
        <v>214</v>
      </c>
      <c r="D25" s="11" t="s">
        <v>816</v>
      </c>
      <c r="E25" s="11">
        <v>1</v>
      </c>
    </row>
    <row r="26" spans="1:5" ht="24.75">
      <c r="A26" s="11" t="s">
        <v>363</v>
      </c>
      <c r="B26" s="11" t="s">
        <v>233</v>
      </c>
      <c r="C26" s="11" t="s">
        <v>214</v>
      </c>
      <c r="D26" s="11" t="s">
        <v>817</v>
      </c>
      <c r="E26" s="11">
        <v>1</v>
      </c>
    </row>
    <row r="27" spans="1:5" ht="24.75">
      <c r="A27" s="11" t="s">
        <v>363</v>
      </c>
      <c r="B27" s="11" t="s">
        <v>233</v>
      </c>
      <c r="C27" s="11" t="s">
        <v>214</v>
      </c>
      <c r="D27" s="11" t="s">
        <v>818</v>
      </c>
      <c r="E27" s="11">
        <v>1</v>
      </c>
    </row>
    <row r="28" spans="1:5" ht="24.75">
      <c r="A28" s="11" t="s">
        <v>363</v>
      </c>
      <c r="B28" s="11" t="s">
        <v>233</v>
      </c>
      <c r="C28" s="11" t="s">
        <v>214</v>
      </c>
      <c r="D28" s="11" t="s">
        <v>819</v>
      </c>
      <c r="E28" s="11">
        <v>1</v>
      </c>
    </row>
    <row r="29" spans="1:5" ht="24.75">
      <c r="A29" s="11" t="s">
        <v>363</v>
      </c>
      <c r="B29" s="11" t="s">
        <v>233</v>
      </c>
      <c r="C29" s="11" t="s">
        <v>214</v>
      </c>
      <c r="D29" s="11" t="s">
        <v>820</v>
      </c>
      <c r="E29" s="11">
        <v>1</v>
      </c>
    </row>
    <row r="30" spans="1:5" ht="24.75">
      <c r="A30" s="11" t="s">
        <v>363</v>
      </c>
      <c r="B30" s="11" t="s">
        <v>233</v>
      </c>
      <c r="C30" s="11" t="s">
        <v>214</v>
      </c>
      <c r="D30" s="11" t="s">
        <v>821</v>
      </c>
      <c r="E30" s="11">
        <v>1</v>
      </c>
    </row>
    <row r="31" spans="1:5" ht="24.75">
      <c r="A31" s="11" t="s">
        <v>363</v>
      </c>
      <c r="B31" s="11" t="s">
        <v>233</v>
      </c>
      <c r="C31" s="11" t="s">
        <v>214</v>
      </c>
      <c r="D31" s="11" t="s">
        <v>822</v>
      </c>
      <c r="E31" s="11">
        <v>1</v>
      </c>
    </row>
    <row r="32" spans="1:5" ht="24.75">
      <c r="A32" s="11" t="s">
        <v>363</v>
      </c>
      <c r="B32" s="11" t="s">
        <v>233</v>
      </c>
      <c r="C32" s="11" t="s">
        <v>214</v>
      </c>
      <c r="D32" s="11" t="s">
        <v>823</v>
      </c>
      <c r="E32" s="11">
        <v>1</v>
      </c>
    </row>
    <row r="33" spans="1:5" ht="24.75">
      <c r="A33" s="11" t="s">
        <v>363</v>
      </c>
      <c r="B33" s="11" t="s">
        <v>233</v>
      </c>
      <c r="C33" s="11" t="s">
        <v>214</v>
      </c>
      <c r="D33" s="11" t="s">
        <v>824</v>
      </c>
      <c r="E33" s="11">
        <v>1</v>
      </c>
    </row>
    <row r="34" spans="1:5" ht="24.75">
      <c r="A34" s="11" t="s">
        <v>363</v>
      </c>
      <c r="B34" s="11" t="s">
        <v>233</v>
      </c>
      <c r="C34" s="11" t="s">
        <v>214</v>
      </c>
      <c r="D34" s="11" t="s">
        <v>825</v>
      </c>
      <c r="E34" s="11">
        <v>1</v>
      </c>
    </row>
    <row r="35" spans="1:5" ht="24.75">
      <c r="A35" s="11" t="s">
        <v>363</v>
      </c>
      <c r="B35" s="11" t="s">
        <v>233</v>
      </c>
      <c r="C35" s="11" t="s">
        <v>214</v>
      </c>
      <c r="D35" s="11" t="s">
        <v>826</v>
      </c>
      <c r="E35" s="11">
        <v>1</v>
      </c>
    </row>
    <row r="36" spans="1:5" ht="24.75">
      <c r="A36" s="11" t="s">
        <v>363</v>
      </c>
      <c r="B36" s="11" t="s">
        <v>233</v>
      </c>
      <c r="C36" s="11" t="s">
        <v>214</v>
      </c>
      <c r="D36" s="11" t="s">
        <v>827</v>
      </c>
      <c r="E36" s="11">
        <v>1</v>
      </c>
    </row>
    <row r="37" spans="1:5" ht="24.75">
      <c r="A37" s="11" t="s">
        <v>363</v>
      </c>
      <c r="B37" s="11" t="s">
        <v>233</v>
      </c>
      <c r="C37" s="11" t="s">
        <v>214</v>
      </c>
      <c r="D37" s="11" t="s">
        <v>828</v>
      </c>
      <c r="E37" s="11">
        <v>1</v>
      </c>
    </row>
    <row r="38" spans="1:5" ht="24.75">
      <c r="A38" s="11" t="s">
        <v>363</v>
      </c>
      <c r="B38" s="11" t="s">
        <v>233</v>
      </c>
      <c r="C38" s="11" t="s">
        <v>214</v>
      </c>
      <c r="D38" s="11" t="s">
        <v>829</v>
      </c>
      <c r="E38" s="11">
        <v>1</v>
      </c>
    </row>
    <row r="39" spans="1:5" ht="24.75">
      <c r="A39" s="11" t="s">
        <v>363</v>
      </c>
      <c r="B39" s="11" t="s">
        <v>233</v>
      </c>
      <c r="C39" s="11" t="s">
        <v>214</v>
      </c>
      <c r="D39" s="11" t="s">
        <v>830</v>
      </c>
      <c r="E39" s="11">
        <v>1</v>
      </c>
    </row>
    <row r="40" spans="1:5" ht="24.75">
      <c r="A40" s="11" t="s">
        <v>363</v>
      </c>
      <c r="B40" s="11" t="s">
        <v>233</v>
      </c>
      <c r="C40" s="11" t="s">
        <v>214</v>
      </c>
      <c r="D40" s="11" t="s">
        <v>831</v>
      </c>
      <c r="E40" s="11">
        <v>1</v>
      </c>
    </row>
    <row r="41" spans="1:5" ht="24.75">
      <c r="A41" s="11" t="s">
        <v>363</v>
      </c>
      <c r="B41" s="11" t="s">
        <v>233</v>
      </c>
      <c r="C41" s="11" t="s">
        <v>214</v>
      </c>
      <c r="D41" s="11" t="s">
        <v>832</v>
      </c>
      <c r="E41" s="11">
        <v>1</v>
      </c>
    </row>
    <row r="42" spans="1:5" ht="24.75">
      <c r="A42" s="11" t="s">
        <v>363</v>
      </c>
      <c r="B42" s="11" t="s">
        <v>233</v>
      </c>
      <c r="C42" s="11" t="s">
        <v>214</v>
      </c>
      <c r="D42" s="11" t="s">
        <v>833</v>
      </c>
      <c r="E42" s="11">
        <v>1</v>
      </c>
    </row>
    <row r="43" spans="1:5" ht="24.75">
      <c r="A43" s="11" t="s">
        <v>363</v>
      </c>
      <c r="B43" s="11" t="s">
        <v>233</v>
      </c>
      <c r="C43" s="11" t="s">
        <v>214</v>
      </c>
      <c r="D43" s="11" t="s">
        <v>834</v>
      </c>
      <c r="E43" s="11">
        <v>1</v>
      </c>
    </row>
    <row r="44" spans="1:5" ht="24.75">
      <c r="A44" s="11" t="s">
        <v>363</v>
      </c>
      <c r="B44" s="11" t="s">
        <v>233</v>
      </c>
      <c r="C44" s="11" t="s">
        <v>214</v>
      </c>
      <c r="D44" s="11" t="s">
        <v>835</v>
      </c>
      <c r="E44" s="11">
        <v>1</v>
      </c>
    </row>
    <row r="45" spans="1:5" ht="24.75">
      <c r="A45" s="11" t="s">
        <v>363</v>
      </c>
      <c r="B45" s="11" t="s">
        <v>233</v>
      </c>
      <c r="C45" s="11" t="s">
        <v>214</v>
      </c>
      <c r="D45" s="11" t="s">
        <v>836</v>
      </c>
      <c r="E45" s="11">
        <v>1</v>
      </c>
    </row>
    <row r="46" spans="1:5" ht="24.75">
      <c r="A46" s="11" t="s">
        <v>363</v>
      </c>
      <c r="B46" s="11" t="s">
        <v>233</v>
      </c>
      <c r="C46" s="11" t="s">
        <v>214</v>
      </c>
      <c r="D46" s="11" t="s">
        <v>837</v>
      </c>
      <c r="E46" s="11">
        <v>1</v>
      </c>
    </row>
    <row r="47" spans="1:5" ht="24.75">
      <c r="A47" s="11" t="s">
        <v>363</v>
      </c>
      <c r="B47" s="11" t="s">
        <v>233</v>
      </c>
      <c r="C47" s="11" t="s">
        <v>214</v>
      </c>
      <c r="D47" s="11" t="s">
        <v>838</v>
      </c>
      <c r="E47" s="11">
        <v>1</v>
      </c>
    </row>
    <row r="48" spans="1:5" ht="24.75">
      <c r="A48" s="11" t="s">
        <v>363</v>
      </c>
      <c r="B48" s="11" t="s">
        <v>233</v>
      </c>
      <c r="C48" s="11" t="s">
        <v>214</v>
      </c>
      <c r="D48" s="11" t="s">
        <v>839</v>
      </c>
      <c r="E48" s="11">
        <v>1</v>
      </c>
    </row>
    <row r="49" spans="1:5" ht="24.75">
      <c r="A49" s="11" t="s">
        <v>363</v>
      </c>
      <c r="B49" s="11" t="s">
        <v>233</v>
      </c>
      <c r="C49" s="11" t="s">
        <v>214</v>
      </c>
      <c r="D49" s="11" t="s">
        <v>840</v>
      </c>
      <c r="E49" s="11">
        <v>1</v>
      </c>
    </row>
    <row r="50" spans="1:5" ht="24.75">
      <c r="A50" s="11" t="s">
        <v>363</v>
      </c>
      <c r="B50" s="11" t="s">
        <v>233</v>
      </c>
      <c r="C50" s="11" t="s">
        <v>214</v>
      </c>
      <c r="D50" s="11" t="s">
        <v>841</v>
      </c>
      <c r="E50" s="11">
        <v>1</v>
      </c>
    </row>
    <row r="51" spans="1:5" ht="24.75">
      <c r="A51" s="11" t="s">
        <v>363</v>
      </c>
      <c r="B51" s="11" t="s">
        <v>233</v>
      </c>
      <c r="C51" s="11" t="s">
        <v>214</v>
      </c>
      <c r="D51" s="11" t="s">
        <v>842</v>
      </c>
      <c r="E51" s="11">
        <v>1</v>
      </c>
    </row>
    <row r="52" spans="1:5" ht="24.75">
      <c r="A52" s="11" t="s">
        <v>363</v>
      </c>
      <c r="B52" s="11" t="s">
        <v>233</v>
      </c>
      <c r="C52" s="11" t="s">
        <v>214</v>
      </c>
      <c r="D52" s="11" t="s">
        <v>843</v>
      </c>
      <c r="E52" s="11">
        <v>1</v>
      </c>
    </row>
    <row r="53" spans="1:5" ht="24.75">
      <c r="A53" s="11" t="s">
        <v>363</v>
      </c>
      <c r="B53" s="11" t="s">
        <v>233</v>
      </c>
      <c r="C53" s="11" t="s">
        <v>214</v>
      </c>
      <c r="D53" s="11" t="s">
        <v>844</v>
      </c>
      <c r="E53" s="11">
        <v>1</v>
      </c>
    </row>
    <row r="54" spans="1:5" ht="24.75">
      <c r="A54" s="11" t="s">
        <v>363</v>
      </c>
      <c r="B54" s="11" t="s">
        <v>233</v>
      </c>
      <c r="C54" s="11" t="s">
        <v>214</v>
      </c>
      <c r="D54" s="11" t="s">
        <v>845</v>
      </c>
      <c r="E54" s="11">
        <v>1</v>
      </c>
    </row>
    <row r="55" spans="1:5" ht="24.75">
      <c r="A55" s="11" t="s">
        <v>363</v>
      </c>
      <c r="B55" s="11" t="s">
        <v>233</v>
      </c>
      <c r="C55" s="11" t="s">
        <v>214</v>
      </c>
      <c r="D55" s="11" t="s">
        <v>846</v>
      </c>
      <c r="E55" s="11">
        <v>1</v>
      </c>
    </row>
    <row r="56" spans="1:5" ht="24.75">
      <c r="A56" s="11" t="s">
        <v>363</v>
      </c>
      <c r="B56" s="11" t="s">
        <v>233</v>
      </c>
      <c r="C56" s="11" t="s">
        <v>214</v>
      </c>
      <c r="D56" s="11" t="s">
        <v>847</v>
      </c>
      <c r="E56" s="11">
        <v>1</v>
      </c>
    </row>
    <row r="57" spans="1:5" ht="24.75">
      <c r="A57" s="11" t="s">
        <v>363</v>
      </c>
      <c r="B57" s="11" t="s">
        <v>233</v>
      </c>
      <c r="C57" s="11" t="s">
        <v>214</v>
      </c>
      <c r="D57" s="11" t="s">
        <v>848</v>
      </c>
      <c r="E57" s="11">
        <v>1</v>
      </c>
    </row>
    <row r="58" spans="1:5" ht="24.75">
      <c r="A58" s="11" t="s">
        <v>363</v>
      </c>
      <c r="B58" s="11" t="s">
        <v>233</v>
      </c>
      <c r="C58" s="11" t="s">
        <v>214</v>
      </c>
      <c r="D58" s="11" t="s">
        <v>849</v>
      </c>
      <c r="E58" s="11">
        <v>1</v>
      </c>
    </row>
    <row r="59" spans="1:5" ht="24.75">
      <c r="A59" s="11" t="s">
        <v>363</v>
      </c>
      <c r="B59" s="11" t="s">
        <v>233</v>
      </c>
      <c r="C59" s="11" t="s">
        <v>214</v>
      </c>
      <c r="D59" s="11" t="s">
        <v>850</v>
      </c>
      <c r="E59" s="11">
        <v>1</v>
      </c>
    </row>
    <row r="60" spans="1:5">
      <c r="A60" s="1" t="s">
        <v>207</v>
      </c>
      <c r="B60" s="1" t="s">
        <v>207</v>
      </c>
      <c r="C60" s="1">
        <f>SUBTOTAL(103,Elements132171[Elemento])</f>
        <v>53</v>
      </c>
      <c r="D60" s="1" t="s">
        <v>207</v>
      </c>
      <c r="E60" s="1">
        <f>SUBTOTAL(109,Elements132171[Totais:])</f>
        <v>53</v>
      </c>
    </row>
  </sheetData>
  <mergeCells count="3">
    <mergeCell ref="A1:E2"/>
    <mergeCell ref="A4:E4"/>
    <mergeCell ref="A5:E5"/>
  </mergeCells>
  <hyperlinks>
    <hyperlink ref="A1" location="'13.2.17'!A1" display="TE 90º SOLDAVEL E COM BUCHA DE LATAO NA BOLSA CENTRAL,COM DI AMETRO DE 25MMX25MMX3/4&amp;quot;.FORNECIMENTO" xr:uid="{00000000-0004-0000-4400-000000000000}"/>
    <hyperlink ref="B1" location="'13.2.17'!A1" display="TE 90º SOLDAVEL E COM BUCHA DE LATAO NA BOLSA CENTRAL,COM DI AMETRO DE 25MMX25MMX3/4&amp;quot;.FORNECIMENTO" xr:uid="{00000000-0004-0000-4400-000001000000}"/>
    <hyperlink ref="C1" location="'13.2.17'!A1" display="TE 90º SOLDAVEL E COM BUCHA DE LATAO NA BOLSA CENTRAL,COM DI AMETRO DE 25MMX25MMX3/4&amp;quot;.FORNECIMENTO" xr:uid="{00000000-0004-0000-4400-000002000000}"/>
    <hyperlink ref="D1" location="'13.2.17'!A1" display="TE 90º SOLDAVEL E COM BUCHA DE LATAO NA BOLSA CENTRAL,COM DI AMETRO DE 25MMX25MMX3/4&amp;quot;.FORNECIMENTO" xr:uid="{00000000-0004-0000-4400-000003000000}"/>
    <hyperlink ref="E1" location="'13.2.17'!A1" display="TE 90º SOLDAVEL E COM BUCHA DE LATAO NA BOLSA CENTRAL,COM DI AMETRO DE 25MMX25MMX3/4&amp;quot;.FORNECIMENTO" xr:uid="{00000000-0004-0000-4400-000004000000}"/>
    <hyperlink ref="A2" location="'13.2.17'!A1" display="TE 90º SOLDAVEL E COM BUCHA DE LATAO NA BOLSA CENTRAL,COM DI AMETRO DE 25MMX25MMX3/4&amp;quot;.FORNECIMENTO" xr:uid="{00000000-0004-0000-4400-000005000000}"/>
    <hyperlink ref="B2" location="'13.2.17'!A1" display="TE 90º SOLDAVEL E COM BUCHA DE LATAO NA BOLSA CENTRAL,COM DI AMETRO DE 25MMX25MMX3/4&amp;quot;.FORNECIMENTO" xr:uid="{00000000-0004-0000-4400-000006000000}"/>
    <hyperlink ref="C2" location="'13.2.17'!A1" display="TE 90º SOLDAVEL E COM BUCHA DE LATAO NA BOLSA CENTRAL,COM DI AMETRO DE 25MMX25MMX3/4&amp;quot;.FORNECIMENTO" xr:uid="{00000000-0004-0000-4400-000007000000}"/>
    <hyperlink ref="D2" location="'13.2.17'!A1" display="TE 90º SOLDAVEL E COM BUCHA DE LATAO NA BOLSA CENTRAL,COM DI AMETRO DE 25MMX25MMX3/4&amp;quot;.FORNECIMENTO" xr:uid="{00000000-0004-0000-4400-000008000000}"/>
    <hyperlink ref="E2" location="'13.2.17'!A1" display="TE 90º SOLDAVEL E COM BUCHA DE LATAO NA BOLSA CENTRAL,COM DI AMETRO DE 25MMX25MMX3/4&amp;quot;.FORNECIMENTO" xr:uid="{00000000-0004-0000-4400-000009000000}"/>
    <hyperlink ref="A4" location="'13.2.17'!A1" display="Conexões de tubo (Afastamento)" xr:uid="{00000000-0004-0000-4400-00000A000000}"/>
    <hyperlink ref="B4" location="'13.2.17'!A1" display="Conexões de tubo (Afastamento)" xr:uid="{00000000-0004-0000-4400-00000B000000}"/>
    <hyperlink ref="C4" location="'13.2.17'!A1" display="Conexões de tubo (Afastamento)" xr:uid="{00000000-0004-0000-4400-00000C000000}"/>
    <hyperlink ref="D4" location="'13.2.17'!A1" display="Conexões de tubo (Afastamento)" xr:uid="{00000000-0004-0000-4400-00000D000000}"/>
    <hyperlink ref="E4" location="'13.2.17'!A1" display="Conexões de tubo (Afastamento)" xr:uid="{00000000-0004-0000-44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30</v>
      </c>
      <c r="B2" s="6" t="s">
        <v>31</v>
      </c>
      <c r="C2" s="6" t="s">
        <v>32</v>
      </c>
      <c r="D2" s="6" t="s">
        <v>33</v>
      </c>
      <c r="E2" s="6" t="s">
        <v>16</v>
      </c>
      <c r="F2" s="6" t="s">
        <v>227</v>
      </c>
      <c r="G2" s="6">
        <v>12.7</v>
      </c>
      <c r="H2" s="6">
        <v>15.22095</v>
      </c>
      <c r="I2" s="6">
        <v>45.662849999999999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3</v>
      </c>
      <c r="D8" s="11" t="s">
        <v>206</v>
      </c>
      <c r="E8" s="11">
        <v>3</v>
      </c>
    </row>
    <row r="9" spans="1:9">
      <c r="A9" s="11" t="s">
        <v>207</v>
      </c>
      <c r="B9" s="11" t="s">
        <v>207</v>
      </c>
      <c r="C9" s="11">
        <f>SUBTOTAL(109,Criteria_Summary13.2.5[Elementos])</f>
        <v>3</v>
      </c>
      <c r="D9" s="11" t="s">
        <v>207</v>
      </c>
      <c r="E9" s="11">
        <f>SUBTOTAL(109,Criteria_Summary13.2.5[Total])</f>
        <v>3</v>
      </c>
    </row>
    <row r="10" spans="1:9">
      <c r="A10" s="12" t="s">
        <v>208</v>
      </c>
      <c r="B10" s="12">
        <v>0</v>
      </c>
      <c r="C10" s="13"/>
      <c r="D10" s="13"/>
      <c r="E10" s="12">
        <v>3</v>
      </c>
    </row>
    <row r="13" spans="1:9">
      <c r="A13" s="18" t="s">
        <v>206</v>
      </c>
      <c r="B13" s="18" t="s">
        <v>206</v>
      </c>
      <c r="C13" s="18" t="s">
        <v>206</v>
      </c>
      <c r="D13" s="18" t="s">
        <v>206</v>
      </c>
      <c r="E13" s="18" t="s">
        <v>206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3</v>
      </c>
      <c r="C16" s="21" t="s">
        <v>210</v>
      </c>
      <c r="D16" s="21" t="s">
        <v>210</v>
      </c>
      <c r="E16" s="11">
        <v>3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236</v>
      </c>
      <c r="B24" s="21" t="s">
        <v>236</v>
      </c>
      <c r="C24" s="21" t="s">
        <v>236</v>
      </c>
      <c r="D24" s="11" t="s">
        <v>214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72.75">
      <c r="A28" s="11" t="s">
        <v>220</v>
      </c>
      <c r="B28" s="11" t="s">
        <v>221</v>
      </c>
      <c r="C28" s="11" t="s">
        <v>237</v>
      </c>
      <c r="D28" s="11" t="s">
        <v>223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5" xr:uid="{00000000-0004-0000-0600-000000000000}"/>
    <hyperlink ref="F2" location="'13.2.5E'!A1" display="3" xr:uid="{00000000-0004-0000-0600-000001000000}"/>
    <hyperlink ref="E10" location="'13.2.5E'!A1" display="'13.2.5E'!A1" xr:uid="{00000000-0004-0000-0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dimension ref="A1:E13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83</v>
      </c>
      <c r="B1" s="23" t="s">
        <v>83</v>
      </c>
      <c r="C1" s="23" t="s">
        <v>83</v>
      </c>
      <c r="D1" s="23" t="s">
        <v>83</v>
      </c>
      <c r="E1" s="23" t="s">
        <v>83</v>
      </c>
    </row>
    <row r="2" spans="1:5">
      <c r="A2" s="23" t="s">
        <v>83</v>
      </c>
      <c r="B2" s="23" t="s">
        <v>83</v>
      </c>
      <c r="C2" s="23" t="s">
        <v>83</v>
      </c>
      <c r="D2" s="23" t="s">
        <v>83</v>
      </c>
      <c r="E2" s="23" t="s">
        <v>83</v>
      </c>
    </row>
    <row r="4" spans="1:5">
      <c r="A4" s="18" t="s">
        <v>280</v>
      </c>
      <c r="B4" s="18" t="s">
        <v>280</v>
      </c>
      <c r="C4" s="18" t="s">
        <v>280</v>
      </c>
      <c r="D4" s="18" t="s">
        <v>280</v>
      </c>
      <c r="E4" s="18" t="s">
        <v>280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283</v>
      </c>
      <c r="D7" s="11" t="s">
        <v>851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283</v>
      </c>
      <c r="D8" s="11" t="s">
        <v>852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283</v>
      </c>
      <c r="D9" s="11" t="s">
        <v>853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283</v>
      </c>
      <c r="D10" s="11" t="s">
        <v>854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283</v>
      </c>
      <c r="D11" s="11" t="s">
        <v>855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283</v>
      </c>
      <c r="D12" s="11" t="s">
        <v>856</v>
      </c>
      <c r="E12" s="11">
        <v>1</v>
      </c>
    </row>
    <row r="13" spans="1:5">
      <c r="A13" s="1" t="s">
        <v>207</v>
      </c>
      <c r="B13" s="1" t="s">
        <v>207</v>
      </c>
      <c r="C13" s="1">
        <f>SUBTOTAL(103,Elements132181[Elemento])</f>
        <v>6</v>
      </c>
      <c r="D13" s="1" t="s">
        <v>207</v>
      </c>
      <c r="E13" s="1">
        <f>SUBTOTAL(109,Elements132181[Totais:])</f>
        <v>6</v>
      </c>
    </row>
  </sheetData>
  <mergeCells count="3">
    <mergeCell ref="A1:E2"/>
    <mergeCell ref="A4:E4"/>
    <mergeCell ref="A5:E5"/>
  </mergeCells>
  <hyperlinks>
    <hyperlink ref="A1" location="'13.2.18'!A1" display="TORNEIRA DE BOIA EM PLASTICO,PARA CAIXA D&amp;apos;AGUA,DE 1/2&amp;quot;.FORNE CIMENTO E COLOCACAO" xr:uid="{00000000-0004-0000-4500-000000000000}"/>
    <hyperlink ref="B1" location="'13.2.18'!A1" display="TORNEIRA DE BOIA EM PLASTICO,PARA CAIXA D&amp;apos;AGUA,DE 1/2&amp;quot;.FORNE CIMENTO E COLOCACAO" xr:uid="{00000000-0004-0000-4500-000001000000}"/>
    <hyperlink ref="C1" location="'13.2.18'!A1" display="TORNEIRA DE BOIA EM PLASTICO,PARA CAIXA D&amp;apos;AGUA,DE 1/2&amp;quot;.FORNE CIMENTO E COLOCACAO" xr:uid="{00000000-0004-0000-4500-000002000000}"/>
    <hyperlink ref="D1" location="'13.2.18'!A1" display="TORNEIRA DE BOIA EM PLASTICO,PARA CAIXA D&amp;apos;AGUA,DE 1/2&amp;quot;.FORNE CIMENTO E COLOCACAO" xr:uid="{00000000-0004-0000-4500-000003000000}"/>
    <hyperlink ref="E1" location="'13.2.18'!A1" display="TORNEIRA DE BOIA EM PLASTICO,PARA CAIXA D&amp;apos;AGUA,DE 1/2&amp;quot;.FORNE CIMENTO E COLOCACAO" xr:uid="{00000000-0004-0000-4500-000004000000}"/>
    <hyperlink ref="A2" location="'13.2.18'!A1" display="TORNEIRA DE BOIA EM PLASTICO,PARA CAIXA D&amp;apos;AGUA,DE 1/2&amp;quot;.FORNE CIMENTO E COLOCACAO" xr:uid="{00000000-0004-0000-4500-000005000000}"/>
    <hyperlink ref="B2" location="'13.2.18'!A1" display="TORNEIRA DE BOIA EM PLASTICO,PARA CAIXA D&amp;apos;AGUA,DE 1/2&amp;quot;.FORNE CIMENTO E COLOCACAO" xr:uid="{00000000-0004-0000-4500-000006000000}"/>
    <hyperlink ref="C2" location="'13.2.18'!A1" display="TORNEIRA DE BOIA EM PLASTICO,PARA CAIXA D&amp;apos;AGUA,DE 1/2&amp;quot;.FORNE CIMENTO E COLOCACAO" xr:uid="{00000000-0004-0000-4500-000007000000}"/>
    <hyperlink ref="D2" location="'13.2.18'!A1" display="TORNEIRA DE BOIA EM PLASTICO,PARA CAIXA D&amp;apos;AGUA,DE 1/2&amp;quot;.FORNE CIMENTO E COLOCACAO" xr:uid="{00000000-0004-0000-4500-000008000000}"/>
    <hyperlink ref="E2" location="'13.2.18'!A1" display="TORNEIRA DE BOIA EM PLASTICO,PARA CAIXA D&amp;apos;AGUA,DE 1/2&amp;quot;.FORNE CIMENTO E COLOCACAO" xr:uid="{00000000-0004-0000-4500-000009000000}"/>
    <hyperlink ref="A4" location="'13.2.18'!A1" display="Peças hidrossanitárias (Afastamento Adaptador)" xr:uid="{00000000-0004-0000-4500-00000A000000}"/>
    <hyperlink ref="B4" location="'13.2.18'!A1" display="Peças hidrossanitárias (Afastamento Adaptador)" xr:uid="{00000000-0004-0000-4500-00000B000000}"/>
    <hyperlink ref="C4" location="'13.2.18'!A1" display="Peças hidrossanitárias (Afastamento Adaptador)" xr:uid="{00000000-0004-0000-4500-00000C000000}"/>
    <hyperlink ref="D4" location="'13.2.18'!A1" display="Peças hidrossanitárias (Afastamento Adaptador)" xr:uid="{00000000-0004-0000-4500-00000D000000}"/>
    <hyperlink ref="E4" location="'13.2.18'!A1" display="Peças hidrossanitárias (Afastamento Adaptador)" xr:uid="{00000000-0004-0000-45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dimension ref="A1:E51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86</v>
      </c>
      <c r="B1" s="23" t="s">
        <v>86</v>
      </c>
      <c r="C1" s="23" t="s">
        <v>86</v>
      </c>
      <c r="D1" s="23" t="s">
        <v>86</v>
      </c>
      <c r="E1" s="23" t="s">
        <v>86</v>
      </c>
    </row>
    <row r="2" spans="1:5">
      <c r="A2" s="23" t="s">
        <v>86</v>
      </c>
      <c r="B2" s="23" t="s">
        <v>86</v>
      </c>
      <c r="C2" s="23" t="s">
        <v>86</v>
      </c>
      <c r="D2" s="23" t="s">
        <v>86</v>
      </c>
      <c r="E2" s="23" t="s">
        <v>86</v>
      </c>
    </row>
    <row r="4" spans="1:5">
      <c r="A4" s="18" t="s">
        <v>206</v>
      </c>
      <c r="B4" s="18" t="s">
        <v>206</v>
      </c>
      <c r="C4" s="18" t="s">
        <v>206</v>
      </c>
      <c r="D4" s="18" t="s">
        <v>206</v>
      </c>
      <c r="E4" s="18" t="s">
        <v>206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857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858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859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860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861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862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214</v>
      </c>
      <c r="D13" s="11" t="s">
        <v>863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214</v>
      </c>
      <c r="D14" s="11" t="s">
        <v>864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214</v>
      </c>
      <c r="D15" s="11" t="s">
        <v>865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214</v>
      </c>
      <c r="D16" s="11" t="s">
        <v>866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214</v>
      </c>
      <c r="D17" s="11" t="s">
        <v>867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214</v>
      </c>
      <c r="D18" s="11" t="s">
        <v>868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214</v>
      </c>
      <c r="D19" s="11" t="s">
        <v>869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214</v>
      </c>
      <c r="D20" s="11" t="s">
        <v>870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214</v>
      </c>
      <c r="D21" s="11" t="s">
        <v>871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214</v>
      </c>
      <c r="D22" s="11" t="s">
        <v>872</v>
      </c>
      <c r="E22" s="11">
        <v>1</v>
      </c>
    </row>
    <row r="23" spans="1:5" ht="24.75">
      <c r="A23" s="11" t="s">
        <v>363</v>
      </c>
      <c r="B23" s="11" t="s">
        <v>233</v>
      </c>
      <c r="C23" s="11" t="s">
        <v>214</v>
      </c>
      <c r="D23" s="11" t="s">
        <v>873</v>
      </c>
      <c r="E23" s="11">
        <v>1</v>
      </c>
    </row>
    <row r="24" spans="1:5" ht="24.75">
      <c r="A24" s="11" t="s">
        <v>363</v>
      </c>
      <c r="B24" s="11" t="s">
        <v>233</v>
      </c>
      <c r="C24" s="11" t="s">
        <v>214</v>
      </c>
      <c r="D24" s="11" t="s">
        <v>874</v>
      </c>
      <c r="E24" s="11">
        <v>1</v>
      </c>
    </row>
    <row r="25" spans="1:5" ht="24.75">
      <c r="A25" s="11" t="s">
        <v>363</v>
      </c>
      <c r="B25" s="11" t="s">
        <v>233</v>
      </c>
      <c r="C25" s="11" t="s">
        <v>214</v>
      </c>
      <c r="D25" s="11" t="s">
        <v>875</v>
      </c>
      <c r="E25" s="11">
        <v>1</v>
      </c>
    </row>
    <row r="26" spans="1:5" ht="24.75">
      <c r="A26" s="11" t="s">
        <v>363</v>
      </c>
      <c r="B26" s="11" t="s">
        <v>233</v>
      </c>
      <c r="C26" s="11" t="s">
        <v>214</v>
      </c>
      <c r="D26" s="11" t="s">
        <v>876</v>
      </c>
      <c r="E26" s="11">
        <v>1</v>
      </c>
    </row>
    <row r="27" spans="1:5" ht="24.75">
      <c r="A27" s="11" t="s">
        <v>363</v>
      </c>
      <c r="B27" s="11" t="s">
        <v>233</v>
      </c>
      <c r="C27" s="11" t="s">
        <v>214</v>
      </c>
      <c r="D27" s="11" t="s">
        <v>877</v>
      </c>
      <c r="E27" s="11">
        <v>1</v>
      </c>
    </row>
    <row r="28" spans="1:5" ht="24.75">
      <c r="A28" s="11" t="s">
        <v>363</v>
      </c>
      <c r="B28" s="11" t="s">
        <v>233</v>
      </c>
      <c r="C28" s="11" t="s">
        <v>214</v>
      </c>
      <c r="D28" s="11" t="s">
        <v>878</v>
      </c>
      <c r="E28" s="11">
        <v>1</v>
      </c>
    </row>
    <row r="29" spans="1:5" ht="24.75">
      <c r="A29" s="11" t="s">
        <v>363</v>
      </c>
      <c r="B29" s="11" t="s">
        <v>233</v>
      </c>
      <c r="C29" s="11" t="s">
        <v>214</v>
      </c>
      <c r="D29" s="11" t="s">
        <v>879</v>
      </c>
      <c r="E29" s="11">
        <v>1</v>
      </c>
    </row>
    <row r="30" spans="1:5" ht="24.75">
      <c r="A30" s="11" t="s">
        <v>363</v>
      </c>
      <c r="B30" s="11" t="s">
        <v>233</v>
      </c>
      <c r="C30" s="11" t="s">
        <v>214</v>
      </c>
      <c r="D30" s="11" t="s">
        <v>880</v>
      </c>
      <c r="E30" s="11">
        <v>1</v>
      </c>
    </row>
    <row r="31" spans="1:5" ht="24.75">
      <c r="A31" s="11" t="s">
        <v>363</v>
      </c>
      <c r="B31" s="11" t="s">
        <v>233</v>
      </c>
      <c r="C31" s="11" t="s">
        <v>214</v>
      </c>
      <c r="D31" s="11" t="s">
        <v>881</v>
      </c>
      <c r="E31" s="11">
        <v>1</v>
      </c>
    </row>
    <row r="32" spans="1:5" ht="24.75">
      <c r="A32" s="11" t="s">
        <v>363</v>
      </c>
      <c r="B32" s="11" t="s">
        <v>233</v>
      </c>
      <c r="C32" s="11" t="s">
        <v>214</v>
      </c>
      <c r="D32" s="11" t="s">
        <v>882</v>
      </c>
      <c r="E32" s="11">
        <v>1</v>
      </c>
    </row>
    <row r="33" spans="1:5" ht="24.75">
      <c r="A33" s="11" t="s">
        <v>363</v>
      </c>
      <c r="B33" s="11" t="s">
        <v>233</v>
      </c>
      <c r="C33" s="11" t="s">
        <v>214</v>
      </c>
      <c r="D33" s="11" t="s">
        <v>883</v>
      </c>
      <c r="E33" s="11">
        <v>1</v>
      </c>
    </row>
    <row r="34" spans="1:5" ht="24.75">
      <c r="A34" s="11" t="s">
        <v>363</v>
      </c>
      <c r="B34" s="11" t="s">
        <v>233</v>
      </c>
      <c r="C34" s="11" t="s">
        <v>214</v>
      </c>
      <c r="D34" s="11" t="s">
        <v>884</v>
      </c>
      <c r="E34" s="11">
        <v>1</v>
      </c>
    </row>
    <row r="35" spans="1:5" ht="24.75">
      <c r="A35" s="11" t="s">
        <v>363</v>
      </c>
      <c r="B35" s="11" t="s">
        <v>233</v>
      </c>
      <c r="C35" s="11" t="s">
        <v>214</v>
      </c>
      <c r="D35" s="11" t="s">
        <v>885</v>
      </c>
      <c r="E35" s="11">
        <v>1</v>
      </c>
    </row>
    <row r="36" spans="1:5" ht="24.75">
      <c r="A36" s="11" t="s">
        <v>363</v>
      </c>
      <c r="B36" s="11" t="s">
        <v>233</v>
      </c>
      <c r="C36" s="11" t="s">
        <v>214</v>
      </c>
      <c r="D36" s="11" t="s">
        <v>886</v>
      </c>
      <c r="E36" s="11">
        <v>1</v>
      </c>
    </row>
    <row r="37" spans="1:5" ht="24.75">
      <c r="A37" s="11" t="s">
        <v>363</v>
      </c>
      <c r="B37" s="11" t="s">
        <v>233</v>
      </c>
      <c r="C37" s="11" t="s">
        <v>214</v>
      </c>
      <c r="D37" s="11" t="s">
        <v>887</v>
      </c>
      <c r="E37" s="11">
        <v>1</v>
      </c>
    </row>
    <row r="38" spans="1:5" ht="24.75">
      <c r="A38" s="11" t="s">
        <v>363</v>
      </c>
      <c r="B38" s="11" t="s">
        <v>233</v>
      </c>
      <c r="C38" s="11" t="s">
        <v>214</v>
      </c>
      <c r="D38" s="11" t="s">
        <v>888</v>
      </c>
      <c r="E38" s="11">
        <v>1</v>
      </c>
    </row>
    <row r="39" spans="1:5" ht="24.75">
      <c r="A39" s="11" t="s">
        <v>363</v>
      </c>
      <c r="B39" s="11" t="s">
        <v>233</v>
      </c>
      <c r="C39" s="11" t="s">
        <v>214</v>
      </c>
      <c r="D39" s="11" t="s">
        <v>889</v>
      </c>
      <c r="E39" s="11">
        <v>1</v>
      </c>
    </row>
    <row r="40" spans="1:5" ht="24.75">
      <c r="A40" s="11" t="s">
        <v>363</v>
      </c>
      <c r="B40" s="11" t="s">
        <v>233</v>
      </c>
      <c r="C40" s="11" t="s">
        <v>214</v>
      </c>
      <c r="D40" s="11" t="s">
        <v>890</v>
      </c>
      <c r="E40" s="11">
        <v>1</v>
      </c>
    </row>
    <row r="41" spans="1:5" ht="24.75">
      <c r="A41" s="11" t="s">
        <v>363</v>
      </c>
      <c r="B41" s="11" t="s">
        <v>233</v>
      </c>
      <c r="C41" s="11" t="s">
        <v>214</v>
      </c>
      <c r="D41" s="11" t="s">
        <v>891</v>
      </c>
      <c r="E41" s="11">
        <v>1</v>
      </c>
    </row>
    <row r="42" spans="1:5" ht="24.75">
      <c r="A42" s="11" t="s">
        <v>363</v>
      </c>
      <c r="B42" s="11" t="s">
        <v>233</v>
      </c>
      <c r="C42" s="11" t="s">
        <v>214</v>
      </c>
      <c r="D42" s="11" t="s">
        <v>892</v>
      </c>
      <c r="E42" s="11">
        <v>1</v>
      </c>
    </row>
    <row r="43" spans="1:5" ht="24.75">
      <c r="A43" s="11" t="s">
        <v>363</v>
      </c>
      <c r="B43" s="11" t="s">
        <v>233</v>
      </c>
      <c r="C43" s="11" t="s">
        <v>214</v>
      </c>
      <c r="D43" s="11" t="s">
        <v>893</v>
      </c>
      <c r="E43" s="11">
        <v>1</v>
      </c>
    </row>
    <row r="44" spans="1:5" ht="24.75">
      <c r="A44" s="11" t="s">
        <v>363</v>
      </c>
      <c r="B44" s="11" t="s">
        <v>233</v>
      </c>
      <c r="C44" s="11" t="s">
        <v>214</v>
      </c>
      <c r="D44" s="11" t="s">
        <v>894</v>
      </c>
      <c r="E44" s="11">
        <v>1</v>
      </c>
    </row>
    <row r="45" spans="1:5" ht="24.75">
      <c r="A45" s="11" t="s">
        <v>363</v>
      </c>
      <c r="B45" s="11" t="s">
        <v>233</v>
      </c>
      <c r="C45" s="11" t="s">
        <v>214</v>
      </c>
      <c r="D45" s="11" t="s">
        <v>895</v>
      </c>
      <c r="E45" s="11">
        <v>1</v>
      </c>
    </row>
    <row r="46" spans="1:5" ht="24.75">
      <c r="A46" s="11" t="s">
        <v>363</v>
      </c>
      <c r="B46" s="11" t="s">
        <v>233</v>
      </c>
      <c r="C46" s="11" t="s">
        <v>214</v>
      </c>
      <c r="D46" s="11" t="s">
        <v>896</v>
      </c>
      <c r="E46" s="11">
        <v>1</v>
      </c>
    </row>
    <row r="47" spans="1:5" ht="24.75">
      <c r="A47" s="11" t="s">
        <v>363</v>
      </c>
      <c r="B47" s="11" t="s">
        <v>233</v>
      </c>
      <c r="C47" s="11" t="s">
        <v>214</v>
      </c>
      <c r="D47" s="11" t="s">
        <v>897</v>
      </c>
      <c r="E47" s="11">
        <v>1</v>
      </c>
    </row>
    <row r="48" spans="1:5" ht="24.75">
      <c r="A48" s="11" t="s">
        <v>363</v>
      </c>
      <c r="B48" s="11" t="s">
        <v>233</v>
      </c>
      <c r="C48" s="11" t="s">
        <v>214</v>
      </c>
      <c r="D48" s="11" t="s">
        <v>898</v>
      </c>
      <c r="E48" s="11">
        <v>1</v>
      </c>
    </row>
    <row r="49" spans="1:5" ht="24.75">
      <c r="A49" s="11" t="s">
        <v>363</v>
      </c>
      <c r="B49" s="11" t="s">
        <v>233</v>
      </c>
      <c r="C49" s="11" t="s">
        <v>214</v>
      </c>
      <c r="D49" s="11" t="s">
        <v>899</v>
      </c>
      <c r="E49" s="11">
        <v>1</v>
      </c>
    </row>
    <row r="50" spans="1:5" ht="24.75">
      <c r="A50" s="11" t="s">
        <v>363</v>
      </c>
      <c r="B50" s="11" t="s">
        <v>233</v>
      </c>
      <c r="C50" s="11" t="s">
        <v>214</v>
      </c>
      <c r="D50" s="11" t="s">
        <v>900</v>
      </c>
      <c r="E50" s="11">
        <v>1</v>
      </c>
    </row>
    <row r="51" spans="1:5">
      <c r="A51" s="1" t="s">
        <v>207</v>
      </c>
      <c r="B51" s="1" t="s">
        <v>207</v>
      </c>
      <c r="C51" s="1">
        <f>SUBTOTAL(103,Elements132191[Elemento])</f>
        <v>44</v>
      </c>
      <c r="D51" s="1" t="s">
        <v>207</v>
      </c>
      <c r="E51" s="1">
        <f>SUBTOTAL(109,Elements132191[Totais:])</f>
        <v>44</v>
      </c>
    </row>
  </sheetData>
  <mergeCells count="3">
    <mergeCell ref="A1:E2"/>
    <mergeCell ref="A4:E4"/>
    <mergeCell ref="A5:E5"/>
  </mergeCells>
  <hyperlinks>
    <hyperlink ref="A1" location="'13.2.19'!A1" display="ADAPTADOR SOLDAVEL COM FLANGES E ANEL DE VEDACAO PARA CAIXA D&amp;apos;AGUA,COM DIAMETRO DE 50MMX1.1/2&amp;quot;.FORNECIMENTO" xr:uid="{00000000-0004-0000-4600-000000000000}"/>
    <hyperlink ref="B1" location="'13.2.19'!A1" display="ADAPTADOR SOLDAVEL COM FLANGES E ANEL DE VEDACAO PARA CAIXA D&amp;apos;AGUA,COM DIAMETRO DE 50MMX1.1/2&amp;quot;.FORNECIMENTO" xr:uid="{00000000-0004-0000-4600-000001000000}"/>
    <hyperlink ref="C1" location="'13.2.19'!A1" display="ADAPTADOR SOLDAVEL COM FLANGES E ANEL DE VEDACAO PARA CAIXA D&amp;apos;AGUA,COM DIAMETRO DE 50MMX1.1/2&amp;quot;.FORNECIMENTO" xr:uid="{00000000-0004-0000-4600-000002000000}"/>
    <hyperlink ref="D1" location="'13.2.19'!A1" display="ADAPTADOR SOLDAVEL COM FLANGES E ANEL DE VEDACAO PARA CAIXA D&amp;apos;AGUA,COM DIAMETRO DE 50MMX1.1/2&amp;quot;.FORNECIMENTO" xr:uid="{00000000-0004-0000-4600-000003000000}"/>
    <hyperlink ref="E1" location="'13.2.19'!A1" display="ADAPTADOR SOLDAVEL COM FLANGES E ANEL DE VEDACAO PARA CAIXA D&amp;apos;AGUA,COM DIAMETRO DE 50MMX1.1/2&amp;quot;.FORNECIMENTO" xr:uid="{00000000-0004-0000-4600-000004000000}"/>
    <hyperlink ref="A2" location="'13.2.19'!A1" display="ADAPTADOR SOLDAVEL COM FLANGES E ANEL DE VEDACAO PARA CAIXA D&amp;apos;AGUA,COM DIAMETRO DE 50MMX1.1/2&amp;quot;.FORNECIMENTO" xr:uid="{00000000-0004-0000-4600-000005000000}"/>
    <hyperlink ref="B2" location="'13.2.19'!A1" display="ADAPTADOR SOLDAVEL COM FLANGES E ANEL DE VEDACAO PARA CAIXA D&amp;apos;AGUA,COM DIAMETRO DE 50MMX1.1/2&amp;quot;.FORNECIMENTO" xr:uid="{00000000-0004-0000-4600-000006000000}"/>
    <hyperlink ref="C2" location="'13.2.19'!A1" display="ADAPTADOR SOLDAVEL COM FLANGES E ANEL DE VEDACAO PARA CAIXA D&amp;apos;AGUA,COM DIAMETRO DE 50MMX1.1/2&amp;quot;.FORNECIMENTO" xr:uid="{00000000-0004-0000-4600-000007000000}"/>
    <hyperlink ref="D2" location="'13.2.19'!A1" display="ADAPTADOR SOLDAVEL COM FLANGES E ANEL DE VEDACAO PARA CAIXA D&amp;apos;AGUA,COM DIAMETRO DE 50MMX1.1/2&amp;quot;.FORNECIMENTO" xr:uid="{00000000-0004-0000-4600-000008000000}"/>
    <hyperlink ref="E2" location="'13.2.19'!A1" display="ADAPTADOR SOLDAVEL COM FLANGES E ANEL DE VEDACAO PARA CAIXA D&amp;apos;AGUA,COM DIAMETRO DE 50MMX1.1/2&amp;quot;.FORNECIMENTO" xr:uid="{00000000-0004-0000-4600-000009000000}"/>
    <hyperlink ref="A4" location="'13.2.19'!A1" display="Conexões de tubo (Afastamento)" xr:uid="{00000000-0004-0000-4600-00000A000000}"/>
    <hyperlink ref="B4" location="'13.2.19'!A1" display="Conexões de tubo (Afastamento)" xr:uid="{00000000-0004-0000-4600-00000B000000}"/>
    <hyperlink ref="C4" location="'13.2.19'!A1" display="Conexões de tubo (Afastamento)" xr:uid="{00000000-0004-0000-4600-00000C000000}"/>
    <hyperlink ref="D4" location="'13.2.19'!A1" display="Conexões de tubo (Afastamento)" xr:uid="{00000000-0004-0000-4600-00000D000000}"/>
    <hyperlink ref="E4" location="'13.2.19'!A1" display="Conexões de tubo (Afastamento)" xr:uid="{00000000-0004-0000-46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dimension ref="A1:E616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90</v>
      </c>
      <c r="B1" s="23" t="s">
        <v>90</v>
      </c>
      <c r="C1" s="23" t="s">
        <v>90</v>
      </c>
      <c r="D1" s="23" t="s">
        <v>90</v>
      </c>
      <c r="E1" s="23" t="s">
        <v>90</v>
      </c>
    </row>
    <row r="2" spans="1:5">
      <c r="A2" s="23" t="s">
        <v>90</v>
      </c>
      <c r="B2" s="23" t="s">
        <v>90</v>
      </c>
      <c r="C2" s="23" t="s">
        <v>90</v>
      </c>
      <c r="D2" s="23" t="s">
        <v>90</v>
      </c>
      <c r="E2" s="23" t="s">
        <v>90</v>
      </c>
    </row>
    <row r="4" spans="1:5">
      <c r="A4" s="18" t="s">
        <v>288</v>
      </c>
      <c r="B4" s="18" t="s">
        <v>288</v>
      </c>
      <c r="C4" s="18" t="s">
        <v>288</v>
      </c>
      <c r="D4" s="18" t="s">
        <v>288</v>
      </c>
      <c r="E4" s="18" t="s">
        <v>288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295</v>
      </c>
      <c r="D7" s="11" t="s">
        <v>901</v>
      </c>
      <c r="E7" s="11">
        <v>9.9260806426099579E-2</v>
      </c>
    </row>
    <row r="8" spans="1:5" ht="24.75">
      <c r="A8" s="11" t="s">
        <v>363</v>
      </c>
      <c r="B8" s="11" t="s">
        <v>233</v>
      </c>
      <c r="C8" s="11" t="s">
        <v>295</v>
      </c>
      <c r="D8" s="11" t="s">
        <v>902</v>
      </c>
      <c r="E8" s="11">
        <v>0.99492598039284053</v>
      </c>
    </row>
    <row r="9" spans="1:5" ht="24.75">
      <c r="A9" s="11" t="s">
        <v>363</v>
      </c>
      <c r="B9" s="11" t="s">
        <v>233</v>
      </c>
      <c r="C9" s="11" t="s">
        <v>295</v>
      </c>
      <c r="D9" s="11" t="s">
        <v>903</v>
      </c>
      <c r="E9" s="11">
        <v>1.0884586304054618</v>
      </c>
    </row>
    <row r="10" spans="1:5" ht="24.75">
      <c r="A10" s="11" t="s">
        <v>363</v>
      </c>
      <c r="B10" s="11" t="s">
        <v>233</v>
      </c>
      <c r="C10" s="11" t="s">
        <v>295</v>
      </c>
      <c r="D10" s="11" t="s">
        <v>904</v>
      </c>
      <c r="E10" s="11">
        <v>0.66830004511158925</v>
      </c>
    </row>
    <row r="11" spans="1:5" ht="24.75">
      <c r="A11" s="11" t="s">
        <v>363</v>
      </c>
      <c r="B11" s="11" t="s">
        <v>233</v>
      </c>
      <c r="C11" s="11" t="s">
        <v>295</v>
      </c>
      <c r="D11" s="11" t="s">
        <v>905</v>
      </c>
      <c r="E11" s="11">
        <v>0.26239833772577359</v>
      </c>
    </row>
    <row r="12" spans="1:5" ht="24.75">
      <c r="A12" s="11" t="s">
        <v>363</v>
      </c>
      <c r="B12" s="11" t="s">
        <v>233</v>
      </c>
      <c r="C12" s="11" t="s">
        <v>295</v>
      </c>
      <c r="D12" s="11" t="s">
        <v>906</v>
      </c>
      <c r="E12" s="11">
        <v>0.6970099999999998</v>
      </c>
    </row>
    <row r="13" spans="1:5" ht="24.75">
      <c r="A13" s="11" t="s">
        <v>363</v>
      </c>
      <c r="B13" s="11" t="s">
        <v>233</v>
      </c>
      <c r="C13" s="11" t="s">
        <v>295</v>
      </c>
      <c r="D13" s="11" t="s">
        <v>907</v>
      </c>
      <c r="E13" s="11">
        <v>1.0170100000000013</v>
      </c>
    </row>
    <row r="14" spans="1:5" ht="24.75">
      <c r="A14" s="11" t="s">
        <v>363</v>
      </c>
      <c r="B14" s="11" t="s">
        <v>233</v>
      </c>
      <c r="C14" s="11" t="s">
        <v>295</v>
      </c>
      <c r="D14" s="11" t="s">
        <v>908</v>
      </c>
      <c r="E14" s="11">
        <v>1.0870100000000007</v>
      </c>
    </row>
    <row r="15" spans="1:5" ht="24.75">
      <c r="A15" s="11" t="s">
        <v>363</v>
      </c>
      <c r="B15" s="11" t="s">
        <v>233</v>
      </c>
      <c r="C15" s="11" t="s">
        <v>295</v>
      </c>
      <c r="D15" s="11" t="s">
        <v>909</v>
      </c>
      <c r="E15" s="11">
        <v>1.0088849999999976</v>
      </c>
    </row>
    <row r="16" spans="1:5" ht="24.75">
      <c r="A16" s="11" t="s">
        <v>363</v>
      </c>
      <c r="B16" s="11" t="s">
        <v>233</v>
      </c>
      <c r="C16" s="11" t="s">
        <v>295</v>
      </c>
      <c r="D16" s="11" t="s">
        <v>910</v>
      </c>
      <c r="E16" s="11">
        <v>0.51858749508012048</v>
      </c>
    </row>
    <row r="17" spans="1:5" ht="24.75">
      <c r="A17" s="11" t="s">
        <v>363</v>
      </c>
      <c r="B17" s="11" t="s">
        <v>233</v>
      </c>
      <c r="C17" s="11" t="s">
        <v>295</v>
      </c>
      <c r="D17" s="11" t="s">
        <v>911</v>
      </c>
      <c r="E17" s="11">
        <v>0.39695154162634533</v>
      </c>
    </row>
    <row r="18" spans="1:5" ht="24.75">
      <c r="A18" s="11" t="s">
        <v>363</v>
      </c>
      <c r="B18" s="11" t="s">
        <v>233</v>
      </c>
      <c r="C18" s="11" t="s">
        <v>295</v>
      </c>
      <c r="D18" s="11" t="s">
        <v>912</v>
      </c>
      <c r="E18" s="11">
        <v>0.500000000000001</v>
      </c>
    </row>
    <row r="19" spans="1:5" ht="24.75">
      <c r="A19" s="11" t="s">
        <v>363</v>
      </c>
      <c r="B19" s="11" t="s">
        <v>233</v>
      </c>
      <c r="C19" s="11" t="s">
        <v>295</v>
      </c>
      <c r="D19" s="11" t="s">
        <v>913</v>
      </c>
      <c r="E19" s="11">
        <v>4.1752235478864295</v>
      </c>
    </row>
    <row r="20" spans="1:5" ht="24.75">
      <c r="A20" s="11" t="s">
        <v>363</v>
      </c>
      <c r="B20" s="11" t="s">
        <v>233</v>
      </c>
      <c r="C20" s="11" t="s">
        <v>295</v>
      </c>
      <c r="D20" s="11" t="s">
        <v>914</v>
      </c>
      <c r="E20" s="11">
        <v>2.4996091134362257</v>
      </c>
    </row>
    <row r="21" spans="1:5" ht="24.75">
      <c r="A21" s="11" t="s">
        <v>363</v>
      </c>
      <c r="B21" s="11" t="s">
        <v>233</v>
      </c>
      <c r="C21" s="11" t="s">
        <v>295</v>
      </c>
      <c r="D21" s="11" t="s">
        <v>915</v>
      </c>
      <c r="E21" s="11">
        <v>8.3376335289153697E-2</v>
      </c>
    </row>
    <row r="22" spans="1:5" ht="24.75">
      <c r="A22" s="11" t="s">
        <v>363</v>
      </c>
      <c r="B22" s="11" t="s">
        <v>233</v>
      </c>
      <c r="C22" s="11" t="s">
        <v>295</v>
      </c>
      <c r="D22" s="11" t="s">
        <v>916</v>
      </c>
      <c r="E22" s="11">
        <v>8.3087560156408391E-2</v>
      </c>
    </row>
    <row r="23" spans="1:5" ht="24.75">
      <c r="A23" s="11" t="s">
        <v>363</v>
      </c>
      <c r="B23" s="11" t="s">
        <v>233</v>
      </c>
      <c r="C23" s="11" t="s">
        <v>295</v>
      </c>
      <c r="D23" s="11" t="s">
        <v>917</v>
      </c>
      <c r="E23" s="11">
        <v>8.3087599408251292E-2</v>
      </c>
    </row>
    <row r="24" spans="1:5" ht="24.75">
      <c r="A24" s="11" t="s">
        <v>363</v>
      </c>
      <c r="B24" s="11" t="s">
        <v>233</v>
      </c>
      <c r="C24" s="11" t="s">
        <v>295</v>
      </c>
      <c r="D24" s="11" t="s">
        <v>918</v>
      </c>
      <c r="E24" s="11">
        <v>0.3860200000000002</v>
      </c>
    </row>
    <row r="25" spans="1:5" ht="24.75">
      <c r="A25" s="11" t="s">
        <v>363</v>
      </c>
      <c r="B25" s="11" t="s">
        <v>233</v>
      </c>
      <c r="C25" s="11" t="s">
        <v>295</v>
      </c>
      <c r="D25" s="11" t="s">
        <v>919</v>
      </c>
      <c r="E25" s="11">
        <v>0.13344977757153792</v>
      </c>
    </row>
    <row r="26" spans="1:5" ht="24.75">
      <c r="A26" s="11" t="s">
        <v>363</v>
      </c>
      <c r="B26" s="11" t="s">
        <v>233</v>
      </c>
      <c r="C26" s="11" t="s">
        <v>295</v>
      </c>
      <c r="D26" s="11" t="s">
        <v>920</v>
      </c>
      <c r="E26" s="11">
        <v>4.3813672233608925</v>
      </c>
    </row>
    <row r="27" spans="1:5" ht="24.75">
      <c r="A27" s="11" t="s">
        <v>363</v>
      </c>
      <c r="B27" s="11" t="s">
        <v>233</v>
      </c>
      <c r="C27" s="11" t="s">
        <v>295</v>
      </c>
      <c r="D27" s="11" t="s">
        <v>921</v>
      </c>
      <c r="E27" s="11">
        <v>0.16603749640791707</v>
      </c>
    </row>
    <row r="28" spans="1:5" ht="24.75">
      <c r="A28" s="11" t="s">
        <v>363</v>
      </c>
      <c r="B28" s="11" t="s">
        <v>233</v>
      </c>
      <c r="C28" s="11" t="s">
        <v>295</v>
      </c>
      <c r="D28" s="11" t="s">
        <v>922</v>
      </c>
      <c r="E28" s="11">
        <v>0.16603749246985444</v>
      </c>
    </row>
    <row r="29" spans="1:5" ht="24.75">
      <c r="A29" s="11" t="s">
        <v>363</v>
      </c>
      <c r="B29" s="11" t="s">
        <v>233</v>
      </c>
      <c r="C29" s="11" t="s">
        <v>295</v>
      </c>
      <c r="D29" s="11" t="s">
        <v>923</v>
      </c>
      <c r="E29" s="11">
        <v>0.16603749016916944</v>
      </c>
    </row>
    <row r="30" spans="1:5" ht="24.75">
      <c r="A30" s="11" t="s">
        <v>363</v>
      </c>
      <c r="B30" s="11" t="s">
        <v>233</v>
      </c>
      <c r="C30" s="11" t="s">
        <v>295</v>
      </c>
      <c r="D30" s="11" t="s">
        <v>924</v>
      </c>
      <c r="E30" s="11">
        <v>0.16603748586902536</v>
      </c>
    </row>
    <row r="31" spans="1:5" ht="24.75">
      <c r="A31" s="11" t="s">
        <v>363</v>
      </c>
      <c r="B31" s="11" t="s">
        <v>233</v>
      </c>
      <c r="C31" s="11" t="s">
        <v>295</v>
      </c>
      <c r="D31" s="11" t="s">
        <v>925</v>
      </c>
      <c r="E31" s="11">
        <v>4.2369662865501478</v>
      </c>
    </row>
    <row r="32" spans="1:5" ht="24.75">
      <c r="A32" s="11" t="s">
        <v>363</v>
      </c>
      <c r="B32" s="11" t="s">
        <v>233</v>
      </c>
      <c r="C32" s="11" t="s">
        <v>295</v>
      </c>
      <c r="D32" s="11" t="s">
        <v>926</v>
      </c>
      <c r="E32" s="11">
        <v>4.2454969986835129</v>
      </c>
    </row>
    <row r="33" spans="1:5" ht="24.75">
      <c r="A33" s="11" t="s">
        <v>363</v>
      </c>
      <c r="B33" s="11" t="s">
        <v>233</v>
      </c>
      <c r="C33" s="11" t="s">
        <v>295</v>
      </c>
      <c r="D33" s="11" t="s">
        <v>927</v>
      </c>
      <c r="E33" s="11">
        <v>4.2550020197935581</v>
      </c>
    </row>
    <row r="34" spans="1:5" ht="24.75">
      <c r="A34" s="11" t="s">
        <v>363</v>
      </c>
      <c r="B34" s="11" t="s">
        <v>233</v>
      </c>
      <c r="C34" s="11" t="s">
        <v>295</v>
      </c>
      <c r="D34" s="11" t="s">
        <v>928</v>
      </c>
      <c r="E34" s="11">
        <v>4.0325142796347055</v>
      </c>
    </row>
    <row r="35" spans="1:5" ht="24.75">
      <c r="A35" s="11" t="s">
        <v>363</v>
      </c>
      <c r="B35" s="11" t="s">
        <v>233</v>
      </c>
      <c r="C35" s="11" t="s">
        <v>295</v>
      </c>
      <c r="D35" s="11" t="s">
        <v>929</v>
      </c>
      <c r="E35" s="11">
        <v>14.7012427281595</v>
      </c>
    </row>
    <row r="36" spans="1:5" ht="24.75">
      <c r="A36" s="11" t="s">
        <v>363</v>
      </c>
      <c r="B36" s="11" t="s">
        <v>233</v>
      </c>
      <c r="C36" s="11" t="s">
        <v>295</v>
      </c>
      <c r="D36" s="11" t="s">
        <v>930</v>
      </c>
      <c r="E36" s="11">
        <v>0.24354749985398239</v>
      </c>
    </row>
    <row r="37" spans="1:5" ht="24.75">
      <c r="A37" s="11" t="s">
        <v>363</v>
      </c>
      <c r="B37" s="11" t="s">
        <v>233</v>
      </c>
      <c r="C37" s="11" t="s">
        <v>295</v>
      </c>
      <c r="D37" s="11" t="s">
        <v>931</v>
      </c>
      <c r="E37" s="11">
        <v>1.1438864724783893</v>
      </c>
    </row>
    <row r="38" spans="1:5" ht="24.75">
      <c r="A38" s="11" t="s">
        <v>363</v>
      </c>
      <c r="B38" s="11" t="s">
        <v>233</v>
      </c>
      <c r="C38" s="11" t="s">
        <v>295</v>
      </c>
      <c r="D38" s="11" t="s">
        <v>932</v>
      </c>
      <c r="E38" s="11">
        <v>0.79394600720315933</v>
      </c>
    </row>
    <row r="39" spans="1:5" ht="24.75">
      <c r="A39" s="11" t="s">
        <v>363</v>
      </c>
      <c r="B39" s="11" t="s">
        <v>233</v>
      </c>
      <c r="C39" s="11" t="s">
        <v>295</v>
      </c>
      <c r="D39" s="11" t="s">
        <v>933</v>
      </c>
      <c r="E39" s="11">
        <v>1.4950000000000001</v>
      </c>
    </row>
    <row r="40" spans="1:5" ht="24.75">
      <c r="A40" s="11" t="s">
        <v>363</v>
      </c>
      <c r="B40" s="11" t="s">
        <v>233</v>
      </c>
      <c r="C40" s="11" t="s">
        <v>295</v>
      </c>
      <c r="D40" s="11" t="s">
        <v>934</v>
      </c>
      <c r="E40" s="11">
        <v>1.6758686165349079</v>
      </c>
    </row>
    <row r="41" spans="1:5" ht="24.75">
      <c r="A41" s="11" t="s">
        <v>363</v>
      </c>
      <c r="B41" s="11" t="s">
        <v>233</v>
      </c>
      <c r="C41" s="11" t="s">
        <v>295</v>
      </c>
      <c r="D41" s="11" t="s">
        <v>935</v>
      </c>
      <c r="E41" s="11">
        <v>0.5535203892341285</v>
      </c>
    </row>
    <row r="42" spans="1:5" ht="24.75">
      <c r="A42" s="11" t="s">
        <v>363</v>
      </c>
      <c r="B42" s="11" t="s">
        <v>233</v>
      </c>
      <c r="C42" s="11" t="s">
        <v>295</v>
      </c>
      <c r="D42" s="11" t="s">
        <v>936</v>
      </c>
      <c r="E42" s="11">
        <v>1.7147154386620291</v>
      </c>
    </row>
    <row r="43" spans="1:5" ht="24.75">
      <c r="A43" s="11" t="s">
        <v>363</v>
      </c>
      <c r="B43" s="11" t="s">
        <v>233</v>
      </c>
      <c r="C43" s="11" t="s">
        <v>295</v>
      </c>
      <c r="D43" s="11" t="s">
        <v>937</v>
      </c>
      <c r="E43" s="11">
        <v>0.95540998495787244</v>
      </c>
    </row>
    <row r="44" spans="1:5" ht="24.75">
      <c r="A44" s="11" t="s">
        <v>363</v>
      </c>
      <c r="B44" s="11" t="s">
        <v>233</v>
      </c>
      <c r="C44" s="11" t="s">
        <v>295</v>
      </c>
      <c r="D44" s="11" t="s">
        <v>938</v>
      </c>
      <c r="E44" s="11">
        <v>7.6653234083712787E-2</v>
      </c>
    </row>
    <row r="45" spans="1:5" ht="24.75">
      <c r="A45" s="11" t="s">
        <v>363</v>
      </c>
      <c r="B45" s="11" t="s">
        <v>233</v>
      </c>
      <c r="C45" s="11" t="s">
        <v>295</v>
      </c>
      <c r="D45" s="11" t="s">
        <v>939</v>
      </c>
      <c r="E45" s="11">
        <v>1.0194998922542584</v>
      </c>
    </row>
    <row r="46" spans="1:5" ht="24.75">
      <c r="A46" s="11" t="s">
        <v>363</v>
      </c>
      <c r="B46" s="11" t="s">
        <v>233</v>
      </c>
      <c r="C46" s="11" t="s">
        <v>295</v>
      </c>
      <c r="D46" s="11" t="s">
        <v>940</v>
      </c>
      <c r="E46" s="11">
        <v>5.009440524716087E-2</v>
      </c>
    </row>
    <row r="47" spans="1:5" ht="24.75">
      <c r="A47" s="11" t="s">
        <v>363</v>
      </c>
      <c r="B47" s="11" t="s">
        <v>233</v>
      </c>
      <c r="C47" s="11" t="s">
        <v>295</v>
      </c>
      <c r="D47" s="11" t="s">
        <v>941</v>
      </c>
      <c r="E47" s="11">
        <v>2.2816539293187121</v>
      </c>
    </row>
    <row r="48" spans="1:5" ht="24.75">
      <c r="A48" s="11" t="s">
        <v>363</v>
      </c>
      <c r="B48" s="11" t="s">
        <v>233</v>
      </c>
      <c r="C48" s="11" t="s">
        <v>295</v>
      </c>
      <c r="D48" s="11" t="s">
        <v>942</v>
      </c>
      <c r="E48" s="11">
        <v>0.76829999999999865</v>
      </c>
    </row>
    <row r="49" spans="1:5" ht="24.75">
      <c r="A49" s="11" t="s">
        <v>363</v>
      </c>
      <c r="B49" s="11" t="s">
        <v>233</v>
      </c>
      <c r="C49" s="11" t="s">
        <v>295</v>
      </c>
      <c r="D49" s="11" t="s">
        <v>943</v>
      </c>
      <c r="E49" s="11">
        <v>0.76720000000000321</v>
      </c>
    </row>
    <row r="50" spans="1:5" ht="24.75">
      <c r="A50" s="11" t="s">
        <v>363</v>
      </c>
      <c r="B50" s="11" t="s">
        <v>233</v>
      </c>
      <c r="C50" s="11" t="s">
        <v>295</v>
      </c>
      <c r="D50" s="11" t="s">
        <v>944</v>
      </c>
      <c r="E50" s="11">
        <v>0.76719999999999888</v>
      </c>
    </row>
    <row r="51" spans="1:5" ht="24.75">
      <c r="A51" s="11" t="s">
        <v>363</v>
      </c>
      <c r="B51" s="11" t="s">
        <v>233</v>
      </c>
      <c r="C51" s="11" t="s">
        <v>295</v>
      </c>
      <c r="D51" s="11" t="s">
        <v>945</v>
      </c>
      <c r="E51" s="11">
        <v>0.23262281570970555</v>
      </c>
    </row>
    <row r="52" spans="1:5" ht="24.75">
      <c r="A52" s="11" t="s">
        <v>363</v>
      </c>
      <c r="B52" s="11" t="s">
        <v>233</v>
      </c>
      <c r="C52" s="11" t="s">
        <v>295</v>
      </c>
      <c r="D52" s="11" t="s">
        <v>946</v>
      </c>
      <c r="E52" s="11">
        <v>0.94982528470393746</v>
      </c>
    </row>
    <row r="53" spans="1:5" ht="24.75">
      <c r="A53" s="11" t="s">
        <v>363</v>
      </c>
      <c r="B53" s="11" t="s">
        <v>233</v>
      </c>
      <c r="C53" s="11" t="s">
        <v>295</v>
      </c>
      <c r="D53" s="11" t="s">
        <v>947</v>
      </c>
      <c r="E53" s="11">
        <v>0.95954994779998348</v>
      </c>
    </row>
    <row r="54" spans="1:5" ht="24.75">
      <c r="A54" s="11" t="s">
        <v>363</v>
      </c>
      <c r="B54" s="11" t="s">
        <v>233</v>
      </c>
      <c r="C54" s="11" t="s">
        <v>295</v>
      </c>
      <c r="D54" s="11" t="s">
        <v>948</v>
      </c>
      <c r="E54" s="11">
        <v>0.94904997389970636</v>
      </c>
    </row>
    <row r="55" spans="1:5" ht="24.75">
      <c r="A55" s="11" t="s">
        <v>363</v>
      </c>
      <c r="B55" s="11" t="s">
        <v>233</v>
      </c>
      <c r="C55" s="11" t="s">
        <v>295</v>
      </c>
      <c r="D55" s="11" t="s">
        <v>949</v>
      </c>
      <c r="E55" s="11">
        <v>0.47387299205522487</v>
      </c>
    </row>
    <row r="56" spans="1:5" ht="24.75">
      <c r="A56" s="11" t="s">
        <v>363</v>
      </c>
      <c r="B56" s="11" t="s">
        <v>233</v>
      </c>
      <c r="C56" s="11" t="s">
        <v>295</v>
      </c>
      <c r="D56" s="11" t="s">
        <v>950</v>
      </c>
      <c r="E56" s="11">
        <v>0.72997499999999815</v>
      </c>
    </row>
    <row r="57" spans="1:5" ht="24.75">
      <c r="A57" s="11" t="s">
        <v>363</v>
      </c>
      <c r="B57" s="11" t="s">
        <v>233</v>
      </c>
      <c r="C57" s="11" t="s">
        <v>295</v>
      </c>
      <c r="D57" s="11" t="s">
        <v>951</v>
      </c>
      <c r="E57" s="11">
        <v>0.47583698684803633</v>
      </c>
    </row>
    <row r="58" spans="1:5" ht="24.75">
      <c r="A58" s="11" t="s">
        <v>363</v>
      </c>
      <c r="B58" s="11" t="s">
        <v>233</v>
      </c>
      <c r="C58" s="11" t="s">
        <v>295</v>
      </c>
      <c r="D58" s="11" t="s">
        <v>952</v>
      </c>
      <c r="E58" s="11">
        <v>0.7972000000000885</v>
      </c>
    </row>
    <row r="59" spans="1:5" ht="24.75">
      <c r="A59" s="11" t="s">
        <v>363</v>
      </c>
      <c r="B59" s="11" t="s">
        <v>233</v>
      </c>
      <c r="C59" s="11" t="s">
        <v>295</v>
      </c>
      <c r="D59" s="11" t="s">
        <v>953</v>
      </c>
      <c r="E59" s="11">
        <v>0.80204999999995019</v>
      </c>
    </row>
    <row r="60" spans="1:5" ht="24.75">
      <c r="A60" s="11" t="s">
        <v>363</v>
      </c>
      <c r="B60" s="11" t="s">
        <v>233</v>
      </c>
      <c r="C60" s="11" t="s">
        <v>295</v>
      </c>
      <c r="D60" s="11" t="s">
        <v>954</v>
      </c>
      <c r="E60" s="11">
        <v>0.73273500000000191</v>
      </c>
    </row>
    <row r="61" spans="1:5" ht="24.75">
      <c r="A61" s="11" t="s">
        <v>363</v>
      </c>
      <c r="B61" s="11" t="s">
        <v>233</v>
      </c>
      <c r="C61" s="11" t="s">
        <v>295</v>
      </c>
      <c r="D61" s="11" t="s">
        <v>955</v>
      </c>
      <c r="E61" s="11">
        <v>5.4424020652167142</v>
      </c>
    </row>
    <row r="62" spans="1:5" ht="24.75">
      <c r="A62" s="11" t="s">
        <v>363</v>
      </c>
      <c r="B62" s="11" t="s">
        <v>233</v>
      </c>
      <c r="C62" s="11" t="s">
        <v>295</v>
      </c>
      <c r="D62" s="11" t="s">
        <v>956</v>
      </c>
      <c r="E62" s="11">
        <v>0.92626450423327134</v>
      </c>
    </row>
    <row r="63" spans="1:5" ht="24.75">
      <c r="A63" s="11" t="s">
        <v>363</v>
      </c>
      <c r="B63" s="11" t="s">
        <v>233</v>
      </c>
      <c r="C63" s="11" t="s">
        <v>295</v>
      </c>
      <c r="D63" s="11" t="s">
        <v>957</v>
      </c>
      <c r="E63" s="11">
        <v>1.0170383135437235</v>
      </c>
    </row>
    <row r="64" spans="1:5" ht="24.75">
      <c r="A64" s="11" t="s">
        <v>363</v>
      </c>
      <c r="B64" s="11" t="s">
        <v>233</v>
      </c>
      <c r="C64" s="11" t="s">
        <v>295</v>
      </c>
      <c r="D64" s="11" t="s">
        <v>958</v>
      </c>
      <c r="E64" s="11">
        <v>0.34383905460061243</v>
      </c>
    </row>
    <row r="65" spans="1:5" ht="24.75">
      <c r="A65" s="11" t="s">
        <v>363</v>
      </c>
      <c r="B65" s="11" t="s">
        <v>233</v>
      </c>
      <c r="C65" s="11" t="s">
        <v>295</v>
      </c>
      <c r="D65" s="11" t="s">
        <v>959</v>
      </c>
      <c r="E65" s="11">
        <v>5.6017054860884388E-2</v>
      </c>
    </row>
    <row r="66" spans="1:5" ht="24.75">
      <c r="A66" s="11" t="s">
        <v>363</v>
      </c>
      <c r="B66" s="11" t="s">
        <v>233</v>
      </c>
      <c r="C66" s="11" t="s">
        <v>295</v>
      </c>
      <c r="D66" s="11" t="s">
        <v>960</v>
      </c>
      <c r="E66" s="11">
        <v>0.35699158350505167</v>
      </c>
    </row>
    <row r="67" spans="1:5" ht="24.75">
      <c r="A67" s="11" t="s">
        <v>363</v>
      </c>
      <c r="B67" s="11" t="s">
        <v>233</v>
      </c>
      <c r="C67" s="11" t="s">
        <v>295</v>
      </c>
      <c r="D67" s="11" t="s">
        <v>961</v>
      </c>
      <c r="E67" s="11">
        <v>3.4632508647217253</v>
      </c>
    </row>
    <row r="68" spans="1:5" ht="24.75">
      <c r="A68" s="11" t="s">
        <v>363</v>
      </c>
      <c r="B68" s="11" t="s">
        <v>233</v>
      </c>
      <c r="C68" s="11" t="s">
        <v>295</v>
      </c>
      <c r="D68" s="11" t="s">
        <v>962</v>
      </c>
      <c r="E68" s="11">
        <v>1.0495199950217615</v>
      </c>
    </row>
    <row r="69" spans="1:5" ht="24.75">
      <c r="A69" s="11" t="s">
        <v>363</v>
      </c>
      <c r="B69" s="11" t="s">
        <v>233</v>
      </c>
      <c r="C69" s="11" t="s">
        <v>295</v>
      </c>
      <c r="D69" s="11" t="s">
        <v>963</v>
      </c>
      <c r="E69" s="11">
        <v>1.0692000000000048</v>
      </c>
    </row>
    <row r="70" spans="1:5" ht="24.75">
      <c r="A70" s="11" t="s">
        <v>363</v>
      </c>
      <c r="B70" s="11" t="s">
        <v>233</v>
      </c>
      <c r="C70" s="11" t="s">
        <v>295</v>
      </c>
      <c r="D70" s="11" t="s">
        <v>964</v>
      </c>
      <c r="E70" s="11">
        <v>1.0692000000000168</v>
      </c>
    </row>
    <row r="71" spans="1:5" ht="24.75">
      <c r="A71" s="11" t="s">
        <v>363</v>
      </c>
      <c r="B71" s="11" t="s">
        <v>233</v>
      </c>
      <c r="C71" s="11" t="s">
        <v>295</v>
      </c>
      <c r="D71" s="11" t="s">
        <v>965</v>
      </c>
      <c r="E71" s="11">
        <v>0.35249845837365312</v>
      </c>
    </row>
    <row r="72" spans="1:5" ht="24.75">
      <c r="A72" s="11" t="s">
        <v>363</v>
      </c>
      <c r="B72" s="11" t="s">
        <v>233</v>
      </c>
      <c r="C72" s="11" t="s">
        <v>295</v>
      </c>
      <c r="D72" s="11" t="s">
        <v>966</v>
      </c>
      <c r="E72" s="11">
        <v>0.73580000000001544</v>
      </c>
    </row>
    <row r="73" spans="1:5" ht="24.75">
      <c r="A73" s="11" t="s">
        <v>363</v>
      </c>
      <c r="B73" s="11" t="s">
        <v>233</v>
      </c>
      <c r="C73" s="11" t="s">
        <v>295</v>
      </c>
      <c r="D73" s="11" t="s">
        <v>967</v>
      </c>
      <c r="E73" s="11">
        <v>0.73470000000001656</v>
      </c>
    </row>
    <row r="74" spans="1:5" ht="24.75">
      <c r="A74" s="11" t="s">
        <v>363</v>
      </c>
      <c r="B74" s="11" t="s">
        <v>233</v>
      </c>
      <c r="C74" s="11" t="s">
        <v>295</v>
      </c>
      <c r="D74" s="11" t="s">
        <v>968</v>
      </c>
      <c r="E74" s="11">
        <v>0.73470000000001834</v>
      </c>
    </row>
    <row r="75" spans="1:5" ht="24.75">
      <c r="A75" s="11" t="s">
        <v>363</v>
      </c>
      <c r="B75" s="11" t="s">
        <v>233</v>
      </c>
      <c r="C75" s="11" t="s">
        <v>295</v>
      </c>
      <c r="D75" s="11" t="s">
        <v>969</v>
      </c>
      <c r="E75" s="11">
        <v>0.21015141238661023</v>
      </c>
    </row>
    <row r="76" spans="1:5" ht="24.75">
      <c r="A76" s="11" t="s">
        <v>363</v>
      </c>
      <c r="B76" s="11" t="s">
        <v>233</v>
      </c>
      <c r="C76" s="11" t="s">
        <v>295</v>
      </c>
      <c r="D76" s="11" t="s">
        <v>970</v>
      </c>
      <c r="E76" s="11">
        <v>1.058600000000002</v>
      </c>
    </row>
    <row r="77" spans="1:5" ht="24.75">
      <c r="A77" s="11" t="s">
        <v>363</v>
      </c>
      <c r="B77" s="11" t="s">
        <v>233</v>
      </c>
      <c r="C77" s="11" t="s">
        <v>295</v>
      </c>
      <c r="D77" s="11" t="s">
        <v>971</v>
      </c>
      <c r="E77" s="11">
        <v>0.74420000000002062</v>
      </c>
    </row>
    <row r="78" spans="1:5" ht="24.75">
      <c r="A78" s="11" t="s">
        <v>363</v>
      </c>
      <c r="B78" s="11" t="s">
        <v>233</v>
      </c>
      <c r="C78" s="11" t="s">
        <v>295</v>
      </c>
      <c r="D78" s="11" t="s">
        <v>972</v>
      </c>
      <c r="E78" s="11">
        <v>0.2295900515294918</v>
      </c>
    </row>
    <row r="79" spans="1:5" ht="24.75">
      <c r="A79" s="11" t="s">
        <v>363</v>
      </c>
      <c r="B79" s="11" t="s">
        <v>233</v>
      </c>
      <c r="C79" s="11" t="s">
        <v>295</v>
      </c>
      <c r="D79" s="11" t="s">
        <v>973</v>
      </c>
      <c r="E79" s="11">
        <v>0.68380000000001973</v>
      </c>
    </row>
    <row r="80" spans="1:5" ht="24.75">
      <c r="A80" s="11" t="s">
        <v>363</v>
      </c>
      <c r="B80" s="11" t="s">
        <v>233</v>
      </c>
      <c r="C80" s="11" t="s">
        <v>295</v>
      </c>
      <c r="D80" s="11" t="s">
        <v>974</v>
      </c>
      <c r="E80" s="11">
        <v>0.69695638966461715</v>
      </c>
    </row>
    <row r="81" spans="1:5" ht="24.75">
      <c r="A81" s="11" t="s">
        <v>363</v>
      </c>
      <c r="B81" s="11" t="s">
        <v>233</v>
      </c>
      <c r="C81" s="11" t="s">
        <v>295</v>
      </c>
      <c r="D81" s="11" t="s">
        <v>975</v>
      </c>
      <c r="E81" s="11">
        <v>10.280079220468274</v>
      </c>
    </row>
    <row r="82" spans="1:5" ht="24.75">
      <c r="A82" s="11" t="s">
        <v>363</v>
      </c>
      <c r="B82" s="11" t="s">
        <v>233</v>
      </c>
      <c r="C82" s="11" t="s">
        <v>295</v>
      </c>
      <c r="D82" s="11" t="s">
        <v>976</v>
      </c>
      <c r="E82" s="11">
        <v>0.24843644649908181</v>
      </c>
    </row>
    <row r="83" spans="1:5" ht="24.75">
      <c r="A83" s="11" t="s">
        <v>363</v>
      </c>
      <c r="B83" s="11" t="s">
        <v>233</v>
      </c>
      <c r="C83" s="11" t="s">
        <v>295</v>
      </c>
      <c r="D83" s="11" t="s">
        <v>977</v>
      </c>
      <c r="E83" s="11">
        <v>1.0800099999999992</v>
      </c>
    </row>
    <row r="84" spans="1:5" ht="24.75">
      <c r="A84" s="11" t="s">
        <v>363</v>
      </c>
      <c r="B84" s="11" t="s">
        <v>233</v>
      </c>
      <c r="C84" s="11" t="s">
        <v>295</v>
      </c>
      <c r="D84" s="11" t="s">
        <v>978</v>
      </c>
      <c r="E84" s="11">
        <v>0.81118985789287623</v>
      </c>
    </row>
    <row r="85" spans="1:5" ht="24.75">
      <c r="A85" s="11" t="s">
        <v>363</v>
      </c>
      <c r="B85" s="11" t="s">
        <v>233</v>
      </c>
      <c r="C85" s="11" t="s">
        <v>295</v>
      </c>
      <c r="D85" s="11" t="s">
        <v>979</v>
      </c>
      <c r="E85" s="11">
        <v>4.3860199999999985</v>
      </c>
    </row>
    <row r="86" spans="1:5" ht="24.75">
      <c r="A86" s="11" t="s">
        <v>363</v>
      </c>
      <c r="B86" s="11" t="s">
        <v>233</v>
      </c>
      <c r="C86" s="11" t="s">
        <v>295</v>
      </c>
      <c r="D86" s="11" t="s">
        <v>980</v>
      </c>
      <c r="E86" s="11">
        <v>1.0220646158837301</v>
      </c>
    </row>
    <row r="87" spans="1:5" ht="24.75">
      <c r="A87" s="11" t="s">
        <v>363</v>
      </c>
      <c r="B87" s="11" t="s">
        <v>233</v>
      </c>
      <c r="C87" s="11" t="s">
        <v>295</v>
      </c>
      <c r="D87" s="11" t="s">
        <v>981</v>
      </c>
      <c r="E87" s="11">
        <v>0.13963506376655169</v>
      </c>
    </row>
    <row r="88" spans="1:5" ht="24.75">
      <c r="A88" s="11" t="s">
        <v>363</v>
      </c>
      <c r="B88" s="11" t="s">
        <v>233</v>
      </c>
      <c r="C88" s="11" t="s">
        <v>295</v>
      </c>
      <c r="D88" s="11" t="s">
        <v>982</v>
      </c>
      <c r="E88" s="11">
        <v>0.20099620785401384</v>
      </c>
    </row>
    <row r="89" spans="1:5" ht="24.75">
      <c r="A89" s="11" t="s">
        <v>363</v>
      </c>
      <c r="B89" s="11" t="s">
        <v>233</v>
      </c>
      <c r="C89" s="11" t="s">
        <v>295</v>
      </c>
      <c r="D89" s="11" t="s">
        <v>983</v>
      </c>
      <c r="E89" s="11">
        <v>0.53681958788428874</v>
      </c>
    </row>
    <row r="90" spans="1:5" ht="24.75">
      <c r="A90" s="11" t="s">
        <v>363</v>
      </c>
      <c r="B90" s="11" t="s">
        <v>233</v>
      </c>
      <c r="C90" s="11" t="s">
        <v>295</v>
      </c>
      <c r="D90" s="11" t="s">
        <v>984</v>
      </c>
      <c r="E90" s="11">
        <v>1.0194958432825165</v>
      </c>
    </row>
    <row r="91" spans="1:5" ht="24.75">
      <c r="A91" s="11" t="s">
        <v>363</v>
      </c>
      <c r="B91" s="11" t="s">
        <v>233</v>
      </c>
      <c r="C91" s="11" t="s">
        <v>295</v>
      </c>
      <c r="D91" s="11" t="s">
        <v>985</v>
      </c>
      <c r="E91" s="11">
        <v>0.24128421312183482</v>
      </c>
    </row>
    <row r="92" spans="1:5" ht="24.75">
      <c r="A92" s="11" t="s">
        <v>363</v>
      </c>
      <c r="B92" s="11" t="s">
        <v>233</v>
      </c>
      <c r="C92" s="11" t="s">
        <v>295</v>
      </c>
      <c r="D92" s="11" t="s">
        <v>986</v>
      </c>
      <c r="E92" s="11">
        <v>3.6214785515069861</v>
      </c>
    </row>
    <row r="93" spans="1:5" ht="24.75">
      <c r="A93" s="11" t="s">
        <v>363</v>
      </c>
      <c r="B93" s="11" t="s">
        <v>233</v>
      </c>
      <c r="C93" s="11" t="s">
        <v>295</v>
      </c>
      <c r="D93" s="11" t="s">
        <v>987</v>
      </c>
      <c r="E93" s="11">
        <v>3.6711178381587537</v>
      </c>
    </row>
    <row r="94" spans="1:5" ht="24.75">
      <c r="A94" s="11" t="s">
        <v>363</v>
      </c>
      <c r="B94" s="11" t="s">
        <v>233</v>
      </c>
      <c r="C94" s="11" t="s">
        <v>295</v>
      </c>
      <c r="D94" s="11" t="s">
        <v>988</v>
      </c>
      <c r="E94" s="11">
        <v>3.6757479314215189</v>
      </c>
    </row>
    <row r="95" spans="1:5" ht="24.75">
      <c r="A95" s="11" t="s">
        <v>363</v>
      </c>
      <c r="B95" s="11" t="s">
        <v>233</v>
      </c>
      <c r="C95" s="11" t="s">
        <v>295</v>
      </c>
      <c r="D95" s="11" t="s">
        <v>989</v>
      </c>
      <c r="E95" s="11">
        <v>3.6768930893683103</v>
      </c>
    </row>
    <row r="96" spans="1:5" ht="24.75">
      <c r="A96" s="11" t="s">
        <v>363</v>
      </c>
      <c r="B96" s="11" t="s">
        <v>233</v>
      </c>
      <c r="C96" s="11" t="s">
        <v>295</v>
      </c>
      <c r="D96" s="11" t="s">
        <v>990</v>
      </c>
      <c r="E96" s="11">
        <v>3.7039758132260765</v>
      </c>
    </row>
    <row r="97" spans="1:5" ht="24.75">
      <c r="A97" s="11" t="s">
        <v>363</v>
      </c>
      <c r="B97" s="11" t="s">
        <v>233</v>
      </c>
      <c r="C97" s="11" t="s">
        <v>295</v>
      </c>
      <c r="D97" s="11" t="s">
        <v>991</v>
      </c>
      <c r="E97" s="11">
        <v>3.7025376833003061</v>
      </c>
    </row>
    <row r="98" spans="1:5" ht="24.75">
      <c r="A98" s="11" t="s">
        <v>363</v>
      </c>
      <c r="B98" s="11" t="s">
        <v>233</v>
      </c>
      <c r="C98" s="11" t="s">
        <v>295</v>
      </c>
      <c r="D98" s="11" t="s">
        <v>992</v>
      </c>
      <c r="E98" s="11">
        <v>0.30801935830769678</v>
      </c>
    </row>
    <row r="99" spans="1:5" ht="24.75">
      <c r="A99" s="11" t="s">
        <v>363</v>
      </c>
      <c r="B99" s="11" t="s">
        <v>233</v>
      </c>
      <c r="C99" s="11" t="s">
        <v>295</v>
      </c>
      <c r="D99" s="11" t="s">
        <v>993</v>
      </c>
      <c r="E99" s="11">
        <v>1.0970100000000005</v>
      </c>
    </row>
    <row r="100" spans="1:5" ht="24.75">
      <c r="A100" s="11" t="s">
        <v>363</v>
      </c>
      <c r="B100" s="11" t="s">
        <v>233</v>
      </c>
      <c r="C100" s="11" t="s">
        <v>295</v>
      </c>
      <c r="D100" s="11" t="s">
        <v>994</v>
      </c>
      <c r="E100" s="11">
        <v>4.829188831966879E-2</v>
      </c>
    </row>
    <row r="101" spans="1:5" ht="24.75">
      <c r="A101" s="11" t="s">
        <v>363</v>
      </c>
      <c r="B101" s="11" t="s">
        <v>233</v>
      </c>
      <c r="C101" s="11" t="s">
        <v>295</v>
      </c>
      <c r="D101" s="11" t="s">
        <v>995</v>
      </c>
      <c r="E101" s="11">
        <v>0.30083384487721759</v>
      </c>
    </row>
    <row r="102" spans="1:5" ht="24.75">
      <c r="A102" s="11" t="s">
        <v>363</v>
      </c>
      <c r="B102" s="11" t="s">
        <v>233</v>
      </c>
      <c r="C102" s="11" t="s">
        <v>295</v>
      </c>
      <c r="D102" s="11" t="s">
        <v>996</v>
      </c>
      <c r="E102" s="11">
        <v>0.25582877001966653</v>
      </c>
    </row>
    <row r="103" spans="1:5" ht="24.75">
      <c r="A103" s="11" t="s">
        <v>363</v>
      </c>
      <c r="B103" s="11" t="s">
        <v>233</v>
      </c>
      <c r="C103" s="11" t="s">
        <v>295</v>
      </c>
      <c r="D103" s="11" t="s">
        <v>997</v>
      </c>
      <c r="E103" s="11">
        <v>0.20158597339700682</v>
      </c>
    </row>
    <row r="104" spans="1:5" ht="24.75">
      <c r="A104" s="11" t="s">
        <v>363</v>
      </c>
      <c r="B104" s="11" t="s">
        <v>233</v>
      </c>
      <c r="C104" s="11" t="s">
        <v>295</v>
      </c>
      <c r="D104" s="11" t="s">
        <v>998</v>
      </c>
      <c r="E104" s="11">
        <v>0.19210086512871671</v>
      </c>
    </row>
    <row r="105" spans="1:5" ht="24.75">
      <c r="A105" s="11" t="s">
        <v>363</v>
      </c>
      <c r="B105" s="11" t="s">
        <v>233</v>
      </c>
      <c r="C105" s="11" t="s">
        <v>295</v>
      </c>
      <c r="D105" s="11" t="s">
        <v>999</v>
      </c>
      <c r="E105" s="11">
        <v>0.19953754566843276</v>
      </c>
    </row>
    <row r="106" spans="1:5" ht="24.75">
      <c r="A106" s="11" t="s">
        <v>363</v>
      </c>
      <c r="B106" s="11" t="s">
        <v>233</v>
      </c>
      <c r="C106" s="11" t="s">
        <v>295</v>
      </c>
      <c r="D106" s="11" t="s">
        <v>1000</v>
      </c>
      <c r="E106" s="11">
        <v>0.19953784448522791</v>
      </c>
    </row>
    <row r="107" spans="1:5" ht="24.75">
      <c r="A107" s="11" t="s">
        <v>363</v>
      </c>
      <c r="B107" s="11" t="s">
        <v>233</v>
      </c>
      <c r="C107" s="11" t="s">
        <v>295</v>
      </c>
      <c r="D107" s="11" t="s">
        <v>1001</v>
      </c>
      <c r="E107" s="11">
        <v>0.1863777207865159</v>
      </c>
    </row>
    <row r="108" spans="1:5" ht="24.75">
      <c r="A108" s="11" t="s">
        <v>363</v>
      </c>
      <c r="B108" s="11" t="s">
        <v>233</v>
      </c>
      <c r="C108" s="11" t="s">
        <v>295</v>
      </c>
      <c r="D108" s="11" t="s">
        <v>1002</v>
      </c>
      <c r="E108" s="11">
        <v>0.98637499359469727</v>
      </c>
    </row>
    <row r="109" spans="1:5" ht="24.75">
      <c r="A109" s="11" t="s">
        <v>363</v>
      </c>
      <c r="B109" s="11" t="s">
        <v>233</v>
      </c>
      <c r="C109" s="11" t="s">
        <v>295</v>
      </c>
      <c r="D109" s="11" t="s">
        <v>1003</v>
      </c>
      <c r="E109" s="11">
        <v>0.59700999999998727</v>
      </c>
    </row>
    <row r="110" spans="1:5" ht="24.75">
      <c r="A110" s="11" t="s">
        <v>363</v>
      </c>
      <c r="B110" s="11" t="s">
        <v>233</v>
      </c>
      <c r="C110" s="11" t="s">
        <v>295</v>
      </c>
      <c r="D110" s="11" t="s">
        <v>1004</v>
      </c>
      <c r="E110" s="11">
        <v>0.46544155035588602</v>
      </c>
    </row>
    <row r="111" spans="1:5" ht="24.75">
      <c r="A111" s="11" t="s">
        <v>363</v>
      </c>
      <c r="B111" s="11" t="s">
        <v>233</v>
      </c>
      <c r="C111" s="11" t="s">
        <v>295</v>
      </c>
      <c r="D111" s="11" t="s">
        <v>1005</v>
      </c>
      <c r="E111" s="11">
        <v>7.9383123089754815</v>
      </c>
    </row>
    <row r="112" spans="1:5" ht="24.75">
      <c r="A112" s="11" t="s">
        <v>363</v>
      </c>
      <c r="B112" s="11" t="s">
        <v>233</v>
      </c>
      <c r="C112" s="11" t="s">
        <v>295</v>
      </c>
      <c r="D112" s="11" t="s">
        <v>1006</v>
      </c>
      <c r="E112" s="11">
        <v>2.1768997139063</v>
      </c>
    </row>
    <row r="113" spans="1:5" ht="24.75">
      <c r="A113" s="11" t="s">
        <v>363</v>
      </c>
      <c r="B113" s="11" t="s">
        <v>233</v>
      </c>
      <c r="C113" s="11" t="s">
        <v>295</v>
      </c>
      <c r="D113" s="11" t="s">
        <v>1007</v>
      </c>
      <c r="E113" s="11">
        <v>4.3760199999999987</v>
      </c>
    </row>
    <row r="114" spans="1:5" ht="24.75">
      <c r="A114" s="11" t="s">
        <v>363</v>
      </c>
      <c r="B114" s="11" t="s">
        <v>233</v>
      </c>
      <c r="C114" s="11" t="s">
        <v>295</v>
      </c>
      <c r="D114" s="11" t="s">
        <v>1008</v>
      </c>
      <c r="E114" s="11">
        <v>4.3610200004908757</v>
      </c>
    </row>
    <row r="115" spans="1:5" ht="24.75">
      <c r="A115" s="11" t="s">
        <v>363</v>
      </c>
      <c r="B115" s="11" t="s">
        <v>233</v>
      </c>
      <c r="C115" s="11" t="s">
        <v>295</v>
      </c>
      <c r="D115" s="11" t="s">
        <v>1009</v>
      </c>
      <c r="E115" s="11">
        <v>1.4272325978506595</v>
      </c>
    </row>
    <row r="116" spans="1:5" ht="24.75">
      <c r="A116" s="11" t="s">
        <v>363</v>
      </c>
      <c r="B116" s="11" t="s">
        <v>233</v>
      </c>
      <c r="C116" s="11" t="s">
        <v>295</v>
      </c>
      <c r="D116" s="11" t="s">
        <v>1010</v>
      </c>
      <c r="E116" s="11">
        <v>0.9863749945438629</v>
      </c>
    </row>
    <row r="117" spans="1:5" ht="24.75">
      <c r="A117" s="11" t="s">
        <v>363</v>
      </c>
      <c r="B117" s="11" t="s">
        <v>233</v>
      </c>
      <c r="C117" s="11" t="s">
        <v>295</v>
      </c>
      <c r="D117" s="11" t="s">
        <v>1011</v>
      </c>
      <c r="E117" s="11">
        <v>0.66833937396523613</v>
      </c>
    </row>
    <row r="118" spans="1:5" ht="24.75">
      <c r="A118" s="11" t="s">
        <v>363</v>
      </c>
      <c r="B118" s="11" t="s">
        <v>233</v>
      </c>
      <c r="C118" s="11" t="s">
        <v>295</v>
      </c>
      <c r="D118" s="11" t="s">
        <v>1012</v>
      </c>
      <c r="E118" s="11">
        <v>1.0970099986313693</v>
      </c>
    </row>
    <row r="119" spans="1:5" ht="24.75">
      <c r="A119" s="11" t="s">
        <v>363</v>
      </c>
      <c r="B119" s="11" t="s">
        <v>233</v>
      </c>
      <c r="C119" s="11" t="s">
        <v>295</v>
      </c>
      <c r="D119" s="11" t="s">
        <v>1013</v>
      </c>
      <c r="E119" s="11">
        <v>6.9447496861793248</v>
      </c>
    </row>
    <row r="120" spans="1:5" ht="24.75">
      <c r="A120" s="11" t="s">
        <v>363</v>
      </c>
      <c r="B120" s="11" t="s">
        <v>233</v>
      </c>
      <c r="C120" s="11" t="s">
        <v>295</v>
      </c>
      <c r="D120" s="11" t="s">
        <v>1014</v>
      </c>
      <c r="E120" s="11">
        <v>4.3760199999999987</v>
      </c>
    </row>
    <row r="121" spans="1:5" ht="24.75">
      <c r="A121" s="11" t="s">
        <v>363</v>
      </c>
      <c r="B121" s="11" t="s">
        <v>233</v>
      </c>
      <c r="C121" s="11" t="s">
        <v>295</v>
      </c>
      <c r="D121" s="11" t="s">
        <v>1015</v>
      </c>
      <c r="E121" s="11">
        <v>3.2008928270924315</v>
      </c>
    </row>
    <row r="122" spans="1:5" ht="24.75">
      <c r="A122" s="11" t="s">
        <v>363</v>
      </c>
      <c r="B122" s="11" t="s">
        <v>233</v>
      </c>
      <c r="C122" s="11" t="s">
        <v>295</v>
      </c>
      <c r="D122" s="11" t="s">
        <v>1016</v>
      </c>
      <c r="E122" s="11">
        <v>4.3760200000000005</v>
      </c>
    </row>
    <row r="123" spans="1:5" ht="24.75">
      <c r="A123" s="11" t="s">
        <v>363</v>
      </c>
      <c r="B123" s="11" t="s">
        <v>233</v>
      </c>
      <c r="C123" s="11" t="s">
        <v>295</v>
      </c>
      <c r="D123" s="11" t="s">
        <v>1017</v>
      </c>
      <c r="E123" s="11">
        <v>0.7660197221070576</v>
      </c>
    </row>
    <row r="124" spans="1:5" ht="24.75">
      <c r="A124" s="11" t="s">
        <v>363</v>
      </c>
      <c r="B124" s="11" t="s">
        <v>233</v>
      </c>
      <c r="C124" s="11" t="s">
        <v>295</v>
      </c>
      <c r="D124" s="11" t="s">
        <v>1018</v>
      </c>
      <c r="E124" s="11">
        <v>0.36185956731239105</v>
      </c>
    </row>
    <row r="125" spans="1:5" ht="24.75">
      <c r="A125" s="11" t="s">
        <v>363</v>
      </c>
      <c r="B125" s="11" t="s">
        <v>233</v>
      </c>
      <c r="C125" s="11" t="s">
        <v>295</v>
      </c>
      <c r="D125" s="11" t="s">
        <v>1019</v>
      </c>
      <c r="E125" s="11">
        <v>0.12907027059914503</v>
      </c>
    </row>
    <row r="126" spans="1:5" ht="24.75">
      <c r="A126" s="11" t="s">
        <v>363</v>
      </c>
      <c r="B126" s="11" t="s">
        <v>233</v>
      </c>
      <c r="C126" s="11" t="s">
        <v>295</v>
      </c>
      <c r="D126" s="11" t="s">
        <v>1020</v>
      </c>
      <c r="E126" s="11">
        <v>0.32352972940085573</v>
      </c>
    </row>
    <row r="127" spans="1:5" ht="24.75">
      <c r="A127" s="11" t="s">
        <v>363</v>
      </c>
      <c r="B127" s="11" t="s">
        <v>233</v>
      </c>
      <c r="C127" s="11" t="s">
        <v>295</v>
      </c>
      <c r="D127" s="11" t="s">
        <v>1021</v>
      </c>
      <c r="E127" s="11">
        <v>0.84392269336681169</v>
      </c>
    </row>
    <row r="128" spans="1:5" ht="24.75">
      <c r="A128" s="11" t="s">
        <v>363</v>
      </c>
      <c r="B128" s="11" t="s">
        <v>233</v>
      </c>
      <c r="C128" s="11" t="s">
        <v>295</v>
      </c>
      <c r="D128" s="11" t="s">
        <v>1022</v>
      </c>
      <c r="E128" s="11">
        <v>0.2735216818091748</v>
      </c>
    </row>
    <row r="129" spans="1:5" ht="24.75">
      <c r="A129" s="11" t="s">
        <v>363</v>
      </c>
      <c r="B129" s="11" t="s">
        <v>233</v>
      </c>
      <c r="C129" s="11" t="s">
        <v>295</v>
      </c>
      <c r="D129" s="11" t="s">
        <v>1023</v>
      </c>
      <c r="E129" s="11">
        <v>0.62542841215088063</v>
      </c>
    </row>
    <row r="130" spans="1:5" ht="24.75">
      <c r="A130" s="11" t="s">
        <v>363</v>
      </c>
      <c r="B130" s="11" t="s">
        <v>233</v>
      </c>
      <c r="C130" s="11" t="s">
        <v>295</v>
      </c>
      <c r="D130" s="11" t="s">
        <v>1024</v>
      </c>
      <c r="E130" s="11">
        <v>0.91474990603994089</v>
      </c>
    </row>
    <row r="131" spans="1:5" ht="24.75">
      <c r="A131" s="11" t="s">
        <v>363</v>
      </c>
      <c r="B131" s="11" t="s">
        <v>233</v>
      </c>
      <c r="C131" s="11" t="s">
        <v>295</v>
      </c>
      <c r="D131" s="11" t="s">
        <v>1025</v>
      </c>
      <c r="E131" s="11">
        <v>0.92770005220009433</v>
      </c>
    </row>
    <row r="132" spans="1:5" ht="24.75">
      <c r="A132" s="11" t="s">
        <v>363</v>
      </c>
      <c r="B132" s="11" t="s">
        <v>233</v>
      </c>
      <c r="C132" s="11" t="s">
        <v>295</v>
      </c>
      <c r="D132" s="11" t="s">
        <v>1026</v>
      </c>
      <c r="E132" s="11">
        <v>0.92164991647986594</v>
      </c>
    </row>
    <row r="133" spans="1:5" ht="24.75">
      <c r="A133" s="11" t="s">
        <v>363</v>
      </c>
      <c r="B133" s="11" t="s">
        <v>233</v>
      </c>
      <c r="C133" s="11" t="s">
        <v>295</v>
      </c>
      <c r="D133" s="11" t="s">
        <v>1027</v>
      </c>
      <c r="E133" s="11">
        <v>0.94162500000004556</v>
      </c>
    </row>
    <row r="134" spans="1:5" ht="24.75">
      <c r="A134" s="11" t="s">
        <v>363</v>
      </c>
      <c r="B134" s="11" t="s">
        <v>233</v>
      </c>
      <c r="C134" s="11" t="s">
        <v>295</v>
      </c>
      <c r="D134" s="11" t="s">
        <v>1028</v>
      </c>
      <c r="E134" s="11">
        <v>1.497007543208615</v>
      </c>
    </row>
    <row r="135" spans="1:5" ht="24.75">
      <c r="A135" s="11" t="s">
        <v>363</v>
      </c>
      <c r="B135" s="11" t="s">
        <v>233</v>
      </c>
      <c r="C135" s="11" t="s">
        <v>295</v>
      </c>
      <c r="D135" s="11" t="s">
        <v>1029</v>
      </c>
      <c r="E135" s="11">
        <v>1.0095326952000283</v>
      </c>
    </row>
    <row r="136" spans="1:5" ht="24.75">
      <c r="A136" s="11" t="s">
        <v>363</v>
      </c>
      <c r="B136" s="11" t="s">
        <v>233</v>
      </c>
      <c r="C136" s="11" t="s">
        <v>295</v>
      </c>
      <c r="D136" s="11" t="s">
        <v>1030</v>
      </c>
      <c r="E136" s="11">
        <v>6.3900005857826667E-2</v>
      </c>
    </row>
    <row r="137" spans="1:5" ht="24.75">
      <c r="A137" s="11" t="s">
        <v>363</v>
      </c>
      <c r="B137" s="11" t="s">
        <v>233</v>
      </c>
      <c r="C137" s="11" t="s">
        <v>295</v>
      </c>
      <c r="D137" s="11" t="s">
        <v>1031</v>
      </c>
      <c r="E137" s="11">
        <v>6.5067293478149921E-2</v>
      </c>
    </row>
    <row r="138" spans="1:5" ht="24.75">
      <c r="A138" s="11" t="s">
        <v>363</v>
      </c>
      <c r="B138" s="11" t="s">
        <v>233</v>
      </c>
      <c r="C138" s="11" t="s">
        <v>295</v>
      </c>
      <c r="D138" s="11" t="s">
        <v>1032</v>
      </c>
      <c r="E138" s="11">
        <v>7.4622350000000113</v>
      </c>
    </row>
    <row r="139" spans="1:5" ht="24.75">
      <c r="A139" s="11" t="s">
        <v>363</v>
      </c>
      <c r="B139" s="11" t="s">
        <v>233</v>
      </c>
      <c r="C139" s="11" t="s">
        <v>295</v>
      </c>
      <c r="D139" s="11" t="s">
        <v>1033</v>
      </c>
      <c r="E139" s="11">
        <v>1.0178573876713102</v>
      </c>
    </row>
    <row r="140" spans="1:5" ht="24.75">
      <c r="A140" s="11" t="s">
        <v>363</v>
      </c>
      <c r="B140" s="11" t="s">
        <v>233</v>
      </c>
      <c r="C140" s="11" t="s">
        <v>295</v>
      </c>
      <c r="D140" s="11" t="s">
        <v>1034</v>
      </c>
      <c r="E140" s="11">
        <v>2.887214841569409</v>
      </c>
    </row>
    <row r="141" spans="1:5" ht="24.75">
      <c r="A141" s="11" t="s">
        <v>363</v>
      </c>
      <c r="B141" s="11" t="s">
        <v>233</v>
      </c>
      <c r="C141" s="11" t="s">
        <v>295</v>
      </c>
      <c r="D141" s="11" t="s">
        <v>1035</v>
      </c>
      <c r="E141" s="11">
        <v>0.45473953374391596</v>
      </c>
    </row>
    <row r="142" spans="1:5" ht="24.75">
      <c r="A142" s="11" t="s">
        <v>363</v>
      </c>
      <c r="B142" s="11" t="s">
        <v>233</v>
      </c>
      <c r="C142" s="11" t="s">
        <v>295</v>
      </c>
      <c r="D142" s="11" t="s">
        <v>1036</v>
      </c>
      <c r="E142" s="11">
        <v>3.5134103299349415</v>
      </c>
    </row>
    <row r="143" spans="1:5" ht="24.75">
      <c r="A143" s="11" t="s">
        <v>363</v>
      </c>
      <c r="B143" s="11" t="s">
        <v>233</v>
      </c>
      <c r="C143" s="11" t="s">
        <v>295</v>
      </c>
      <c r="D143" s="11" t="s">
        <v>1037</v>
      </c>
      <c r="E143" s="11">
        <v>1.06332770409743</v>
      </c>
    </row>
    <row r="144" spans="1:5" ht="24.75">
      <c r="A144" s="11" t="s">
        <v>363</v>
      </c>
      <c r="B144" s="11" t="s">
        <v>233</v>
      </c>
      <c r="C144" s="11" t="s">
        <v>295</v>
      </c>
      <c r="D144" s="11" t="s">
        <v>1038</v>
      </c>
      <c r="E144" s="11">
        <v>1.4970100000000008</v>
      </c>
    </row>
    <row r="145" spans="1:5" ht="24.75">
      <c r="A145" s="11" t="s">
        <v>363</v>
      </c>
      <c r="B145" s="11" t="s">
        <v>233</v>
      </c>
      <c r="C145" s="11" t="s">
        <v>295</v>
      </c>
      <c r="D145" s="11" t="s">
        <v>1039</v>
      </c>
      <c r="E145" s="11">
        <v>5.6407531657979501E-2</v>
      </c>
    </row>
    <row r="146" spans="1:5" ht="24.75">
      <c r="A146" s="11" t="s">
        <v>363</v>
      </c>
      <c r="B146" s="11" t="s">
        <v>233</v>
      </c>
      <c r="C146" s="11" t="s">
        <v>295</v>
      </c>
      <c r="D146" s="11" t="s">
        <v>1040</v>
      </c>
      <c r="E146" s="11">
        <v>0.62131325925852776</v>
      </c>
    </row>
    <row r="147" spans="1:5" ht="24.75">
      <c r="A147" s="11" t="s">
        <v>363</v>
      </c>
      <c r="B147" s="11" t="s">
        <v>233</v>
      </c>
      <c r="C147" s="11" t="s">
        <v>295</v>
      </c>
      <c r="D147" s="11" t="s">
        <v>1041</v>
      </c>
      <c r="E147" s="11">
        <v>0.4572442417186301</v>
      </c>
    </row>
    <row r="148" spans="1:5" ht="24.75">
      <c r="A148" s="11" t="s">
        <v>363</v>
      </c>
      <c r="B148" s="11" t="s">
        <v>233</v>
      </c>
      <c r="C148" s="11" t="s">
        <v>295</v>
      </c>
      <c r="D148" s="11" t="s">
        <v>1042</v>
      </c>
      <c r="E148" s="11">
        <v>8.5749985081352287E-2</v>
      </c>
    </row>
    <row r="149" spans="1:5" ht="24.75">
      <c r="A149" s="11" t="s">
        <v>363</v>
      </c>
      <c r="B149" s="11" t="s">
        <v>233</v>
      </c>
      <c r="C149" s="11" t="s">
        <v>295</v>
      </c>
      <c r="D149" s="11" t="s">
        <v>1043</v>
      </c>
      <c r="E149" s="11">
        <v>0.26033552968152923</v>
      </c>
    </row>
    <row r="150" spans="1:5" ht="24.75">
      <c r="A150" s="11" t="s">
        <v>363</v>
      </c>
      <c r="B150" s="11" t="s">
        <v>233</v>
      </c>
      <c r="C150" s="11" t="s">
        <v>295</v>
      </c>
      <c r="D150" s="11" t="s">
        <v>1044</v>
      </c>
      <c r="E150" s="11">
        <v>8.6037484903039127E-2</v>
      </c>
    </row>
    <row r="151" spans="1:5" ht="24.75">
      <c r="A151" s="11" t="s">
        <v>363</v>
      </c>
      <c r="B151" s="11" t="s">
        <v>233</v>
      </c>
      <c r="C151" s="11" t="s">
        <v>295</v>
      </c>
      <c r="D151" s="11" t="s">
        <v>1045</v>
      </c>
      <c r="E151" s="11">
        <v>0.21076957268981425</v>
      </c>
    </row>
    <row r="152" spans="1:5" ht="24.75">
      <c r="A152" s="11" t="s">
        <v>363</v>
      </c>
      <c r="B152" s="11" t="s">
        <v>233</v>
      </c>
      <c r="C152" s="11" t="s">
        <v>295</v>
      </c>
      <c r="D152" s="11" t="s">
        <v>1046</v>
      </c>
      <c r="E152" s="11">
        <v>2.8458597888310972</v>
      </c>
    </row>
    <row r="153" spans="1:5" ht="24.75">
      <c r="A153" s="11" t="s">
        <v>363</v>
      </c>
      <c r="B153" s="11" t="s">
        <v>233</v>
      </c>
      <c r="C153" s="11" t="s">
        <v>295</v>
      </c>
      <c r="D153" s="11" t="s">
        <v>1047</v>
      </c>
      <c r="E153" s="11">
        <v>2.7218878289684105</v>
      </c>
    </row>
    <row r="154" spans="1:5" ht="24.75">
      <c r="A154" s="11" t="s">
        <v>363</v>
      </c>
      <c r="B154" s="11" t="s">
        <v>233</v>
      </c>
      <c r="C154" s="11" t="s">
        <v>295</v>
      </c>
      <c r="D154" s="11" t="s">
        <v>1048</v>
      </c>
      <c r="E154" s="11">
        <v>5.4853534215019861</v>
      </c>
    </row>
    <row r="155" spans="1:5" ht="24.75">
      <c r="A155" s="11" t="s">
        <v>363</v>
      </c>
      <c r="B155" s="11" t="s">
        <v>233</v>
      </c>
      <c r="C155" s="11" t="s">
        <v>295</v>
      </c>
      <c r="D155" s="11" t="s">
        <v>1049</v>
      </c>
      <c r="E155" s="11">
        <v>4.3860200000000011</v>
      </c>
    </row>
    <row r="156" spans="1:5" ht="24.75">
      <c r="A156" s="11" t="s">
        <v>363</v>
      </c>
      <c r="B156" s="11" t="s">
        <v>233</v>
      </c>
      <c r="C156" s="11" t="s">
        <v>295</v>
      </c>
      <c r="D156" s="11" t="s">
        <v>1050</v>
      </c>
      <c r="E156" s="11">
        <v>3.9200000000001255E-2</v>
      </c>
    </row>
    <row r="157" spans="1:5" ht="24.75">
      <c r="A157" s="11" t="s">
        <v>363</v>
      </c>
      <c r="B157" s="11" t="s">
        <v>233</v>
      </c>
      <c r="C157" s="11" t="s">
        <v>295</v>
      </c>
      <c r="D157" s="11" t="s">
        <v>1051</v>
      </c>
      <c r="E157" s="11">
        <v>5.5349810346928594</v>
      </c>
    </row>
    <row r="158" spans="1:5" ht="24.75">
      <c r="A158" s="11" t="s">
        <v>363</v>
      </c>
      <c r="B158" s="11" t="s">
        <v>233</v>
      </c>
      <c r="C158" s="11" t="s">
        <v>295</v>
      </c>
      <c r="D158" s="11" t="s">
        <v>1052</v>
      </c>
      <c r="E158" s="11">
        <v>3.9200000000000262E-2</v>
      </c>
    </row>
    <row r="159" spans="1:5" ht="24.75">
      <c r="A159" s="11" t="s">
        <v>363</v>
      </c>
      <c r="B159" s="11" t="s">
        <v>233</v>
      </c>
      <c r="C159" s="11" t="s">
        <v>295</v>
      </c>
      <c r="D159" s="11" t="s">
        <v>1053</v>
      </c>
      <c r="E159" s="11">
        <v>4.3860199999999994</v>
      </c>
    </row>
    <row r="160" spans="1:5" ht="24.75">
      <c r="A160" s="11" t="s">
        <v>363</v>
      </c>
      <c r="B160" s="11" t="s">
        <v>233</v>
      </c>
      <c r="C160" s="11" t="s">
        <v>295</v>
      </c>
      <c r="D160" s="11" t="s">
        <v>1054</v>
      </c>
      <c r="E160" s="11">
        <v>2.3911508542675484</v>
      </c>
    </row>
    <row r="161" spans="1:5" ht="24.75">
      <c r="A161" s="11" t="s">
        <v>363</v>
      </c>
      <c r="B161" s="11" t="s">
        <v>233</v>
      </c>
      <c r="C161" s="11" t="s">
        <v>295</v>
      </c>
      <c r="D161" s="11" t="s">
        <v>1055</v>
      </c>
      <c r="E161" s="11">
        <v>2.5402791546893959</v>
      </c>
    </row>
    <row r="162" spans="1:5" ht="24.75">
      <c r="A162" s="11" t="s">
        <v>363</v>
      </c>
      <c r="B162" s="11" t="s">
        <v>233</v>
      </c>
      <c r="C162" s="11" t="s">
        <v>295</v>
      </c>
      <c r="D162" s="11" t="s">
        <v>1056</v>
      </c>
      <c r="E162" s="11">
        <v>3.7337890146870216</v>
      </c>
    </row>
    <row r="163" spans="1:5" ht="24.75">
      <c r="A163" s="11" t="s">
        <v>363</v>
      </c>
      <c r="B163" s="11" t="s">
        <v>233</v>
      </c>
      <c r="C163" s="11" t="s">
        <v>295</v>
      </c>
      <c r="D163" s="11" t="s">
        <v>1057</v>
      </c>
      <c r="E163" s="11">
        <v>1.0626537913134175</v>
      </c>
    </row>
    <row r="164" spans="1:5" ht="24.75">
      <c r="A164" s="11" t="s">
        <v>363</v>
      </c>
      <c r="B164" s="11" t="s">
        <v>233</v>
      </c>
      <c r="C164" s="11" t="s">
        <v>295</v>
      </c>
      <c r="D164" s="11" t="s">
        <v>1058</v>
      </c>
      <c r="E164" s="11">
        <v>4.2610200000000011</v>
      </c>
    </row>
    <row r="165" spans="1:5" ht="24.75">
      <c r="A165" s="11" t="s">
        <v>363</v>
      </c>
      <c r="B165" s="11" t="s">
        <v>233</v>
      </c>
      <c r="C165" s="11" t="s">
        <v>295</v>
      </c>
      <c r="D165" s="11" t="s">
        <v>1059</v>
      </c>
      <c r="E165" s="11">
        <v>3.7232069701824426</v>
      </c>
    </row>
    <row r="166" spans="1:5" ht="24.75">
      <c r="A166" s="11" t="s">
        <v>363</v>
      </c>
      <c r="B166" s="11" t="s">
        <v>233</v>
      </c>
      <c r="C166" s="11" t="s">
        <v>295</v>
      </c>
      <c r="D166" s="11" t="s">
        <v>1060</v>
      </c>
      <c r="E166" s="11">
        <v>1.0961340624974509</v>
      </c>
    </row>
    <row r="167" spans="1:5" ht="24.75">
      <c r="A167" s="11" t="s">
        <v>363</v>
      </c>
      <c r="B167" s="11" t="s">
        <v>233</v>
      </c>
      <c r="C167" s="11" t="s">
        <v>295</v>
      </c>
      <c r="D167" s="11" t="s">
        <v>1061</v>
      </c>
      <c r="E167" s="11">
        <v>4.2310200000026361</v>
      </c>
    </row>
    <row r="168" spans="1:5" ht="24.75">
      <c r="A168" s="11" t="s">
        <v>363</v>
      </c>
      <c r="B168" s="11" t="s">
        <v>233</v>
      </c>
      <c r="C168" s="11" t="s">
        <v>295</v>
      </c>
      <c r="D168" s="11" t="s">
        <v>1062</v>
      </c>
      <c r="E168" s="11">
        <v>0.48992000069802955</v>
      </c>
    </row>
    <row r="169" spans="1:5" ht="24.75">
      <c r="A169" s="11" t="s">
        <v>363</v>
      </c>
      <c r="B169" s="11" t="s">
        <v>233</v>
      </c>
      <c r="C169" s="11" t="s">
        <v>295</v>
      </c>
      <c r="D169" s="11" t="s">
        <v>1063</v>
      </c>
      <c r="E169" s="11">
        <v>1.1042726268218412</v>
      </c>
    </row>
    <row r="170" spans="1:5" ht="24.75">
      <c r="A170" s="11" t="s">
        <v>363</v>
      </c>
      <c r="B170" s="11" t="s">
        <v>233</v>
      </c>
      <c r="C170" s="11" t="s">
        <v>295</v>
      </c>
      <c r="D170" s="11" t="s">
        <v>1064</v>
      </c>
      <c r="E170" s="11">
        <v>1.1414072181044543</v>
      </c>
    </row>
    <row r="171" spans="1:5" ht="24.75">
      <c r="A171" s="11" t="s">
        <v>363</v>
      </c>
      <c r="B171" s="11" t="s">
        <v>233</v>
      </c>
      <c r="C171" s="11" t="s">
        <v>295</v>
      </c>
      <c r="D171" s="11" t="s">
        <v>1065</v>
      </c>
      <c r="E171" s="11">
        <v>13.756007649047051</v>
      </c>
    </row>
    <row r="172" spans="1:5" ht="24.75">
      <c r="A172" s="11" t="s">
        <v>363</v>
      </c>
      <c r="B172" s="11" t="s">
        <v>233</v>
      </c>
      <c r="C172" s="11" t="s">
        <v>295</v>
      </c>
      <c r="D172" s="11" t="s">
        <v>1066</v>
      </c>
      <c r="E172" s="11">
        <v>2.7380156299605813</v>
      </c>
    </row>
    <row r="173" spans="1:5" ht="24.75">
      <c r="A173" s="11" t="s">
        <v>363</v>
      </c>
      <c r="B173" s="11" t="s">
        <v>233</v>
      </c>
      <c r="C173" s="11" t="s">
        <v>295</v>
      </c>
      <c r="D173" s="11" t="s">
        <v>1067</v>
      </c>
      <c r="E173" s="11">
        <v>5.5574232654944753</v>
      </c>
    </row>
    <row r="174" spans="1:5" ht="24.75">
      <c r="A174" s="11" t="s">
        <v>363</v>
      </c>
      <c r="B174" s="11" t="s">
        <v>233</v>
      </c>
      <c r="C174" s="11" t="s">
        <v>295</v>
      </c>
      <c r="D174" s="11" t="s">
        <v>1068</v>
      </c>
      <c r="E174" s="11">
        <v>4.2391236205067271</v>
      </c>
    </row>
    <row r="175" spans="1:5" ht="24.75">
      <c r="A175" s="11" t="s">
        <v>363</v>
      </c>
      <c r="B175" s="11" t="s">
        <v>233</v>
      </c>
      <c r="C175" s="11" t="s">
        <v>295</v>
      </c>
      <c r="D175" s="11" t="s">
        <v>1069</v>
      </c>
      <c r="E175" s="11">
        <v>0.91959999999999709</v>
      </c>
    </row>
    <row r="176" spans="1:5" ht="24.75">
      <c r="A176" s="11" t="s">
        <v>363</v>
      </c>
      <c r="B176" s="11" t="s">
        <v>233</v>
      </c>
      <c r="C176" s="11" t="s">
        <v>295</v>
      </c>
      <c r="D176" s="11" t="s">
        <v>1070</v>
      </c>
      <c r="E176" s="11">
        <v>1.792344515181749</v>
      </c>
    </row>
    <row r="177" spans="1:5" ht="24.75">
      <c r="A177" s="11" t="s">
        <v>363</v>
      </c>
      <c r="B177" s="11" t="s">
        <v>233</v>
      </c>
      <c r="C177" s="11" t="s">
        <v>295</v>
      </c>
      <c r="D177" s="11" t="s">
        <v>1071</v>
      </c>
      <c r="E177" s="11">
        <v>0.45402504656412773</v>
      </c>
    </row>
    <row r="178" spans="1:5" ht="24.75">
      <c r="A178" s="11" t="s">
        <v>363</v>
      </c>
      <c r="B178" s="11" t="s">
        <v>233</v>
      </c>
      <c r="C178" s="11" t="s">
        <v>295</v>
      </c>
      <c r="D178" s="11" t="s">
        <v>1072</v>
      </c>
      <c r="E178" s="11">
        <v>0.68356935208288072</v>
      </c>
    </row>
    <row r="179" spans="1:5" ht="24.75">
      <c r="A179" s="11" t="s">
        <v>363</v>
      </c>
      <c r="B179" s="11" t="s">
        <v>233</v>
      </c>
      <c r="C179" s="11" t="s">
        <v>295</v>
      </c>
      <c r="D179" s="11" t="s">
        <v>1073</v>
      </c>
      <c r="E179" s="11">
        <v>0.67916397032551834</v>
      </c>
    </row>
    <row r="180" spans="1:5" ht="24.75">
      <c r="A180" s="11" t="s">
        <v>363</v>
      </c>
      <c r="B180" s="11" t="s">
        <v>233</v>
      </c>
      <c r="C180" s="11" t="s">
        <v>295</v>
      </c>
      <c r="D180" s="11" t="s">
        <v>1074</v>
      </c>
      <c r="E180" s="11">
        <v>1.1529353247018275</v>
      </c>
    </row>
    <row r="181" spans="1:5" ht="24.75">
      <c r="A181" s="11" t="s">
        <v>363</v>
      </c>
      <c r="B181" s="11" t="s">
        <v>233</v>
      </c>
      <c r="C181" s="11" t="s">
        <v>295</v>
      </c>
      <c r="D181" s="11" t="s">
        <v>1075</v>
      </c>
      <c r="E181" s="11">
        <v>0.69860000000000133</v>
      </c>
    </row>
    <row r="182" spans="1:5" ht="24.75">
      <c r="A182" s="11" t="s">
        <v>363</v>
      </c>
      <c r="B182" s="11" t="s">
        <v>233</v>
      </c>
      <c r="C182" s="11" t="s">
        <v>295</v>
      </c>
      <c r="D182" s="11" t="s">
        <v>1076</v>
      </c>
      <c r="E182" s="11">
        <v>0.22856421573840302</v>
      </c>
    </row>
    <row r="183" spans="1:5" ht="24.75">
      <c r="A183" s="11" t="s">
        <v>363</v>
      </c>
      <c r="B183" s="11" t="s">
        <v>233</v>
      </c>
      <c r="C183" s="11" t="s">
        <v>295</v>
      </c>
      <c r="D183" s="11" t="s">
        <v>1077</v>
      </c>
      <c r="E183" s="11">
        <v>0.75013506160000276</v>
      </c>
    </row>
    <row r="184" spans="1:5" ht="24.75">
      <c r="A184" s="11" t="s">
        <v>363</v>
      </c>
      <c r="B184" s="11" t="s">
        <v>233</v>
      </c>
      <c r="C184" s="11" t="s">
        <v>295</v>
      </c>
      <c r="D184" s="11" t="s">
        <v>1078</v>
      </c>
      <c r="E184" s="11">
        <v>3.5860199511355892</v>
      </c>
    </row>
    <row r="185" spans="1:5" ht="24.75">
      <c r="A185" s="11" t="s">
        <v>363</v>
      </c>
      <c r="B185" s="11" t="s">
        <v>233</v>
      </c>
      <c r="C185" s="11" t="s">
        <v>295</v>
      </c>
      <c r="D185" s="11" t="s">
        <v>1079</v>
      </c>
      <c r="E185" s="11">
        <v>0.67870000000000053</v>
      </c>
    </row>
    <row r="186" spans="1:5" ht="24.75">
      <c r="A186" s="11" t="s">
        <v>363</v>
      </c>
      <c r="B186" s="11" t="s">
        <v>233</v>
      </c>
      <c r="C186" s="11" t="s">
        <v>295</v>
      </c>
      <c r="D186" s="11" t="s">
        <v>1080</v>
      </c>
      <c r="E186" s="11">
        <v>0.8661361033463022</v>
      </c>
    </row>
    <row r="187" spans="1:5" ht="24.75">
      <c r="A187" s="11" t="s">
        <v>363</v>
      </c>
      <c r="B187" s="11" t="s">
        <v>233</v>
      </c>
      <c r="C187" s="11" t="s">
        <v>295</v>
      </c>
      <c r="D187" s="11" t="s">
        <v>1081</v>
      </c>
      <c r="E187" s="11">
        <v>1.0024200237699341</v>
      </c>
    </row>
    <row r="188" spans="1:5" ht="24.75">
      <c r="A188" s="11" t="s">
        <v>363</v>
      </c>
      <c r="B188" s="11" t="s">
        <v>233</v>
      </c>
      <c r="C188" s="11" t="s">
        <v>295</v>
      </c>
      <c r="D188" s="11" t="s">
        <v>1082</v>
      </c>
      <c r="E188" s="11">
        <v>0.85346134624581838</v>
      </c>
    </row>
    <row r="189" spans="1:5" ht="24.75">
      <c r="A189" s="11" t="s">
        <v>363</v>
      </c>
      <c r="B189" s="11" t="s">
        <v>233</v>
      </c>
      <c r="C189" s="11" t="s">
        <v>295</v>
      </c>
      <c r="D189" s="11" t="s">
        <v>1083</v>
      </c>
      <c r="E189" s="11">
        <v>1.0154749999999986</v>
      </c>
    </row>
    <row r="190" spans="1:5" ht="24.75">
      <c r="A190" s="11" t="s">
        <v>363</v>
      </c>
      <c r="B190" s="11" t="s">
        <v>233</v>
      </c>
      <c r="C190" s="11" t="s">
        <v>295</v>
      </c>
      <c r="D190" s="11" t="s">
        <v>1084</v>
      </c>
      <c r="E190" s="11">
        <v>1.0154749999999999</v>
      </c>
    </row>
    <row r="191" spans="1:5" ht="24.75">
      <c r="A191" s="11" t="s">
        <v>363</v>
      </c>
      <c r="B191" s="11" t="s">
        <v>233</v>
      </c>
      <c r="C191" s="11" t="s">
        <v>295</v>
      </c>
      <c r="D191" s="11" t="s">
        <v>1085</v>
      </c>
      <c r="E191" s="11">
        <v>0.34855978176227947</v>
      </c>
    </row>
    <row r="192" spans="1:5" ht="24.75">
      <c r="A192" s="11" t="s">
        <v>363</v>
      </c>
      <c r="B192" s="11" t="s">
        <v>233</v>
      </c>
      <c r="C192" s="11" t="s">
        <v>295</v>
      </c>
      <c r="D192" s="11" t="s">
        <v>1086</v>
      </c>
      <c r="E192" s="11">
        <v>0.74460000000000015</v>
      </c>
    </row>
    <row r="193" spans="1:5" ht="24.75">
      <c r="A193" s="11" t="s">
        <v>363</v>
      </c>
      <c r="B193" s="11" t="s">
        <v>233</v>
      </c>
      <c r="C193" s="11" t="s">
        <v>295</v>
      </c>
      <c r="D193" s="11" t="s">
        <v>1087</v>
      </c>
      <c r="E193" s="11">
        <v>1.0613942845631394</v>
      </c>
    </row>
    <row r="194" spans="1:5" ht="24.75">
      <c r="A194" s="11" t="s">
        <v>363</v>
      </c>
      <c r="B194" s="11" t="s">
        <v>233</v>
      </c>
      <c r="C194" s="11" t="s">
        <v>295</v>
      </c>
      <c r="D194" s="11" t="s">
        <v>1088</v>
      </c>
      <c r="E194" s="11">
        <v>0.46132993866427263</v>
      </c>
    </row>
    <row r="195" spans="1:5" ht="24.75">
      <c r="A195" s="11" t="s">
        <v>363</v>
      </c>
      <c r="B195" s="11" t="s">
        <v>233</v>
      </c>
      <c r="C195" s="11" t="s">
        <v>295</v>
      </c>
      <c r="D195" s="11" t="s">
        <v>1089</v>
      </c>
      <c r="E195" s="11">
        <v>0.11467414271107904</v>
      </c>
    </row>
    <row r="196" spans="1:5" ht="24.75">
      <c r="A196" s="11" t="s">
        <v>363</v>
      </c>
      <c r="B196" s="11" t="s">
        <v>233</v>
      </c>
      <c r="C196" s="11" t="s">
        <v>295</v>
      </c>
      <c r="D196" s="11" t="s">
        <v>1090</v>
      </c>
      <c r="E196" s="11">
        <v>4.4910257154368711</v>
      </c>
    </row>
    <row r="197" spans="1:5" ht="24.75">
      <c r="A197" s="11" t="s">
        <v>363</v>
      </c>
      <c r="B197" s="11" t="s">
        <v>233</v>
      </c>
      <c r="C197" s="11" t="s">
        <v>295</v>
      </c>
      <c r="D197" s="11" t="s">
        <v>1091</v>
      </c>
      <c r="E197" s="11">
        <v>0.43632993866427228</v>
      </c>
    </row>
    <row r="198" spans="1:5" ht="24.75">
      <c r="A198" s="11" t="s">
        <v>363</v>
      </c>
      <c r="B198" s="11" t="s">
        <v>233</v>
      </c>
      <c r="C198" s="11" t="s">
        <v>295</v>
      </c>
      <c r="D198" s="11" t="s">
        <v>1092</v>
      </c>
      <c r="E198" s="11">
        <v>0.12238251833936165</v>
      </c>
    </row>
    <row r="199" spans="1:5" ht="24.75">
      <c r="A199" s="11" t="s">
        <v>363</v>
      </c>
      <c r="B199" s="11" t="s">
        <v>233</v>
      </c>
      <c r="C199" s="11" t="s">
        <v>295</v>
      </c>
      <c r="D199" s="11" t="s">
        <v>1093</v>
      </c>
      <c r="E199" s="11">
        <v>0.27433585728892135</v>
      </c>
    </row>
    <row r="200" spans="1:5" ht="24.75">
      <c r="A200" s="11" t="s">
        <v>363</v>
      </c>
      <c r="B200" s="11" t="s">
        <v>233</v>
      </c>
      <c r="C200" s="11" t="s">
        <v>295</v>
      </c>
      <c r="D200" s="11" t="s">
        <v>1094</v>
      </c>
      <c r="E200" s="11">
        <v>0.25132748166063867</v>
      </c>
    </row>
    <row r="201" spans="1:5" ht="24.75">
      <c r="A201" s="11" t="s">
        <v>363</v>
      </c>
      <c r="B201" s="11" t="s">
        <v>233</v>
      </c>
      <c r="C201" s="11" t="s">
        <v>295</v>
      </c>
      <c r="D201" s="11" t="s">
        <v>1095</v>
      </c>
      <c r="E201" s="11">
        <v>1.1603650923296975</v>
      </c>
    </row>
    <row r="202" spans="1:5" ht="24.75">
      <c r="A202" s="11" t="s">
        <v>363</v>
      </c>
      <c r="B202" s="11" t="s">
        <v>233</v>
      </c>
      <c r="C202" s="11" t="s">
        <v>295</v>
      </c>
      <c r="D202" s="11" t="s">
        <v>1096</v>
      </c>
      <c r="E202" s="11">
        <v>0.17103748183955994</v>
      </c>
    </row>
    <row r="203" spans="1:5" ht="24.75">
      <c r="A203" s="11" t="s">
        <v>363</v>
      </c>
      <c r="B203" s="11" t="s">
        <v>233</v>
      </c>
      <c r="C203" s="11" t="s">
        <v>295</v>
      </c>
      <c r="D203" s="11" t="s">
        <v>1097</v>
      </c>
      <c r="E203" s="11">
        <v>0.17103748986791809</v>
      </c>
    </row>
    <row r="204" spans="1:5" ht="24.75">
      <c r="A204" s="11" t="s">
        <v>363</v>
      </c>
      <c r="B204" s="11" t="s">
        <v>233</v>
      </c>
      <c r="C204" s="11" t="s">
        <v>295</v>
      </c>
      <c r="D204" s="11" t="s">
        <v>1098</v>
      </c>
      <c r="E204" s="11">
        <v>0.17103749096639717</v>
      </c>
    </row>
    <row r="205" spans="1:5" ht="24.75">
      <c r="A205" s="11" t="s">
        <v>363</v>
      </c>
      <c r="B205" s="11" t="s">
        <v>233</v>
      </c>
      <c r="C205" s="11" t="s">
        <v>295</v>
      </c>
      <c r="D205" s="11" t="s">
        <v>1099</v>
      </c>
      <c r="E205" s="11">
        <v>0.17103749589039335</v>
      </c>
    </row>
    <row r="206" spans="1:5" ht="24.75">
      <c r="A206" s="11" t="s">
        <v>363</v>
      </c>
      <c r="B206" s="11" t="s">
        <v>233</v>
      </c>
      <c r="C206" s="11" t="s">
        <v>295</v>
      </c>
      <c r="D206" s="11" t="s">
        <v>1100</v>
      </c>
      <c r="E206" s="11">
        <v>0.16854749985398101</v>
      </c>
    </row>
    <row r="207" spans="1:5" ht="24.75">
      <c r="A207" s="11" t="s">
        <v>363</v>
      </c>
      <c r="B207" s="11" t="s">
        <v>233</v>
      </c>
      <c r="C207" s="11" t="s">
        <v>295</v>
      </c>
      <c r="D207" s="11" t="s">
        <v>1101</v>
      </c>
      <c r="E207" s="11">
        <v>3.0959486399728346</v>
      </c>
    </row>
    <row r="208" spans="1:5" ht="24.75">
      <c r="A208" s="11" t="s">
        <v>363</v>
      </c>
      <c r="B208" s="11" t="s">
        <v>233</v>
      </c>
      <c r="C208" s="11" t="s">
        <v>295</v>
      </c>
      <c r="D208" s="11" t="s">
        <v>1102</v>
      </c>
      <c r="E208" s="11">
        <v>3.130989010597649</v>
      </c>
    </row>
    <row r="209" spans="1:5" ht="24.75">
      <c r="A209" s="11" t="s">
        <v>363</v>
      </c>
      <c r="B209" s="11" t="s">
        <v>233</v>
      </c>
      <c r="C209" s="11" t="s">
        <v>295</v>
      </c>
      <c r="D209" s="11" t="s">
        <v>1103</v>
      </c>
      <c r="E209" s="11">
        <v>0.64705301752619515</v>
      </c>
    </row>
    <row r="210" spans="1:5" ht="24.75">
      <c r="A210" s="11" t="s">
        <v>363</v>
      </c>
      <c r="B210" s="11" t="s">
        <v>233</v>
      </c>
      <c r="C210" s="11" t="s">
        <v>295</v>
      </c>
      <c r="D210" s="11" t="s">
        <v>1104</v>
      </c>
      <c r="E210" s="11">
        <v>0.62199114710014713</v>
      </c>
    </row>
    <row r="211" spans="1:5" ht="24.75">
      <c r="A211" s="11" t="s">
        <v>363</v>
      </c>
      <c r="B211" s="11" t="s">
        <v>233</v>
      </c>
      <c r="C211" s="11" t="s">
        <v>295</v>
      </c>
      <c r="D211" s="11" t="s">
        <v>1105</v>
      </c>
      <c r="E211" s="11">
        <v>1.4969849383977545</v>
      </c>
    </row>
    <row r="212" spans="1:5" ht="24.75">
      <c r="A212" s="11" t="s">
        <v>363</v>
      </c>
      <c r="B212" s="11" t="s">
        <v>233</v>
      </c>
      <c r="C212" s="11" t="s">
        <v>295</v>
      </c>
      <c r="D212" s="11" t="s">
        <v>1106</v>
      </c>
      <c r="E212" s="11">
        <v>0.66745790378067427</v>
      </c>
    </row>
    <row r="213" spans="1:5" ht="24.75">
      <c r="A213" s="11" t="s">
        <v>363</v>
      </c>
      <c r="B213" s="11" t="s">
        <v>233</v>
      </c>
      <c r="C213" s="11" t="s">
        <v>295</v>
      </c>
      <c r="D213" s="11" t="s">
        <v>1107</v>
      </c>
      <c r="E213" s="11">
        <v>0.23669752263877955</v>
      </c>
    </row>
    <row r="214" spans="1:5" ht="24.75">
      <c r="A214" s="11" t="s">
        <v>363</v>
      </c>
      <c r="B214" s="11" t="s">
        <v>233</v>
      </c>
      <c r="C214" s="11" t="s">
        <v>295</v>
      </c>
      <c r="D214" s="11" t="s">
        <v>1108</v>
      </c>
      <c r="E214" s="11">
        <v>0.27194327768682047</v>
      </c>
    </row>
    <row r="215" spans="1:5" ht="24.75">
      <c r="A215" s="11" t="s">
        <v>363</v>
      </c>
      <c r="B215" s="11" t="s">
        <v>233</v>
      </c>
      <c r="C215" s="11" t="s">
        <v>295</v>
      </c>
      <c r="D215" s="11" t="s">
        <v>1109</v>
      </c>
      <c r="E215" s="11">
        <v>0.71220000000000572</v>
      </c>
    </row>
    <row r="216" spans="1:5" ht="24.75">
      <c r="A216" s="11" t="s">
        <v>363</v>
      </c>
      <c r="B216" s="11" t="s">
        <v>233</v>
      </c>
      <c r="C216" s="11" t="s">
        <v>295</v>
      </c>
      <c r="D216" s="11" t="s">
        <v>1110</v>
      </c>
      <c r="E216" s="11">
        <v>0.70714529747356958</v>
      </c>
    </row>
    <row r="217" spans="1:5" ht="24.75">
      <c r="A217" s="11" t="s">
        <v>363</v>
      </c>
      <c r="B217" s="11" t="s">
        <v>233</v>
      </c>
      <c r="C217" s="11" t="s">
        <v>295</v>
      </c>
      <c r="D217" s="11" t="s">
        <v>1111</v>
      </c>
      <c r="E217" s="11">
        <v>0.22354749859563142</v>
      </c>
    </row>
    <row r="218" spans="1:5" ht="24.75">
      <c r="A218" s="11" t="s">
        <v>363</v>
      </c>
      <c r="B218" s="11" t="s">
        <v>233</v>
      </c>
      <c r="C218" s="11" t="s">
        <v>295</v>
      </c>
      <c r="D218" s="11" t="s">
        <v>1112</v>
      </c>
      <c r="E218" s="11">
        <v>0.22603749462841644</v>
      </c>
    </row>
    <row r="219" spans="1:5" ht="24.75">
      <c r="A219" s="11" t="s">
        <v>363</v>
      </c>
      <c r="B219" s="11" t="s">
        <v>233</v>
      </c>
      <c r="C219" s="11" t="s">
        <v>295</v>
      </c>
      <c r="D219" s="11" t="s">
        <v>1113</v>
      </c>
      <c r="E219" s="11">
        <v>0.22603749860500591</v>
      </c>
    </row>
    <row r="220" spans="1:5" ht="24.75">
      <c r="A220" s="11" t="s">
        <v>363</v>
      </c>
      <c r="B220" s="11" t="s">
        <v>233</v>
      </c>
      <c r="C220" s="11" t="s">
        <v>295</v>
      </c>
      <c r="D220" s="11" t="s">
        <v>1114</v>
      </c>
      <c r="E220" s="11">
        <v>0.23353667114509621</v>
      </c>
    </row>
    <row r="221" spans="1:5" ht="24.75">
      <c r="A221" s="11" t="s">
        <v>363</v>
      </c>
      <c r="B221" s="11" t="s">
        <v>233</v>
      </c>
      <c r="C221" s="11" t="s">
        <v>295</v>
      </c>
      <c r="D221" s="11" t="s">
        <v>1115</v>
      </c>
      <c r="E221" s="11">
        <v>0.23103743993100162</v>
      </c>
    </row>
    <row r="222" spans="1:5" ht="24.75">
      <c r="A222" s="11" t="s">
        <v>363</v>
      </c>
      <c r="B222" s="11" t="s">
        <v>233</v>
      </c>
      <c r="C222" s="11" t="s">
        <v>295</v>
      </c>
      <c r="D222" s="11" t="s">
        <v>1116</v>
      </c>
      <c r="E222" s="11">
        <v>3.2864644492518988</v>
      </c>
    </row>
    <row r="223" spans="1:5" ht="24.75">
      <c r="A223" s="11" t="s">
        <v>363</v>
      </c>
      <c r="B223" s="11" t="s">
        <v>233</v>
      </c>
      <c r="C223" s="11" t="s">
        <v>295</v>
      </c>
      <c r="D223" s="11" t="s">
        <v>1117</v>
      </c>
      <c r="E223" s="11">
        <v>3.2863683962151282</v>
      </c>
    </row>
    <row r="224" spans="1:5" ht="24.75">
      <c r="A224" s="11" t="s">
        <v>363</v>
      </c>
      <c r="B224" s="11" t="s">
        <v>233</v>
      </c>
      <c r="C224" s="11" t="s">
        <v>295</v>
      </c>
      <c r="D224" s="11" t="s">
        <v>1118</v>
      </c>
      <c r="E224" s="11">
        <v>0.11346272887219495</v>
      </c>
    </row>
    <row r="225" spans="1:5" ht="24.75">
      <c r="A225" s="11" t="s">
        <v>363</v>
      </c>
      <c r="B225" s="11" t="s">
        <v>233</v>
      </c>
      <c r="C225" s="11" t="s">
        <v>295</v>
      </c>
      <c r="D225" s="11" t="s">
        <v>1119</v>
      </c>
      <c r="E225" s="11">
        <v>0.1134627288601821</v>
      </c>
    </row>
    <row r="226" spans="1:5" ht="24.75">
      <c r="A226" s="11" t="s">
        <v>363</v>
      </c>
      <c r="B226" s="11" t="s">
        <v>233</v>
      </c>
      <c r="C226" s="11" t="s">
        <v>295</v>
      </c>
      <c r="D226" s="11" t="s">
        <v>1120</v>
      </c>
      <c r="E226" s="11">
        <v>0.11346272882153119</v>
      </c>
    </row>
    <row r="227" spans="1:5" ht="24.75">
      <c r="A227" s="11" t="s">
        <v>363</v>
      </c>
      <c r="B227" s="11" t="s">
        <v>233</v>
      </c>
      <c r="C227" s="11" t="s">
        <v>295</v>
      </c>
      <c r="D227" s="11" t="s">
        <v>1121</v>
      </c>
      <c r="E227" s="11">
        <v>0.11346272882237744</v>
      </c>
    </row>
    <row r="228" spans="1:5" ht="24.75">
      <c r="A228" s="11" t="s">
        <v>363</v>
      </c>
      <c r="B228" s="11" t="s">
        <v>233</v>
      </c>
      <c r="C228" s="11" t="s">
        <v>295</v>
      </c>
      <c r="D228" s="11" t="s">
        <v>1122</v>
      </c>
      <c r="E228" s="11">
        <v>0.99569999999999415</v>
      </c>
    </row>
    <row r="229" spans="1:5" ht="24.75">
      <c r="A229" s="11" t="s">
        <v>363</v>
      </c>
      <c r="B229" s="11" t="s">
        <v>233</v>
      </c>
      <c r="C229" s="11" t="s">
        <v>295</v>
      </c>
      <c r="D229" s="11" t="s">
        <v>1123</v>
      </c>
      <c r="E229" s="11">
        <v>0.28044709475180524</v>
      </c>
    </row>
    <row r="230" spans="1:5" ht="24.75">
      <c r="A230" s="11" t="s">
        <v>363</v>
      </c>
      <c r="B230" s="11" t="s">
        <v>233</v>
      </c>
      <c r="C230" s="11" t="s">
        <v>295</v>
      </c>
      <c r="D230" s="11" t="s">
        <v>1124</v>
      </c>
      <c r="E230" s="11">
        <v>0.83579981029643713</v>
      </c>
    </row>
    <row r="231" spans="1:5" ht="24.75">
      <c r="A231" s="11" t="s">
        <v>363</v>
      </c>
      <c r="B231" s="11" t="s">
        <v>233</v>
      </c>
      <c r="C231" s="11" t="s">
        <v>295</v>
      </c>
      <c r="D231" s="11" t="s">
        <v>1125</v>
      </c>
      <c r="E231" s="11">
        <v>0.99569999999999403</v>
      </c>
    </row>
    <row r="232" spans="1:5" ht="24.75">
      <c r="A232" s="11" t="s">
        <v>363</v>
      </c>
      <c r="B232" s="11" t="s">
        <v>233</v>
      </c>
      <c r="C232" s="11" t="s">
        <v>295</v>
      </c>
      <c r="D232" s="11" t="s">
        <v>1126</v>
      </c>
      <c r="E232" s="11">
        <v>0.13963506376655169</v>
      </c>
    </row>
    <row r="233" spans="1:5" ht="24.75">
      <c r="A233" s="11" t="s">
        <v>363</v>
      </c>
      <c r="B233" s="11" t="s">
        <v>233</v>
      </c>
      <c r="C233" s="11" t="s">
        <v>295</v>
      </c>
      <c r="D233" s="11" t="s">
        <v>1127</v>
      </c>
      <c r="E233" s="11">
        <v>0.80094999999999106</v>
      </c>
    </row>
    <row r="234" spans="1:5" ht="24.75">
      <c r="A234" s="11" t="s">
        <v>363</v>
      </c>
      <c r="B234" s="11" t="s">
        <v>233</v>
      </c>
      <c r="C234" s="11" t="s">
        <v>295</v>
      </c>
      <c r="D234" s="11" t="s">
        <v>1128</v>
      </c>
      <c r="E234" s="11">
        <v>0.80094999999999306</v>
      </c>
    </row>
    <row r="235" spans="1:5" ht="24.75">
      <c r="A235" s="11" t="s">
        <v>363</v>
      </c>
      <c r="B235" s="11" t="s">
        <v>233</v>
      </c>
      <c r="C235" s="11" t="s">
        <v>295</v>
      </c>
      <c r="D235" s="11" t="s">
        <v>1129</v>
      </c>
      <c r="E235" s="11">
        <v>0.49769178853963514</v>
      </c>
    </row>
    <row r="236" spans="1:5" ht="24.75">
      <c r="A236" s="11" t="s">
        <v>363</v>
      </c>
      <c r="B236" s="11" t="s">
        <v>233</v>
      </c>
      <c r="C236" s="11" t="s">
        <v>295</v>
      </c>
      <c r="D236" s="11" t="s">
        <v>1130</v>
      </c>
      <c r="E236" s="11">
        <v>1.0055120459352489</v>
      </c>
    </row>
    <row r="237" spans="1:5" ht="24.75">
      <c r="A237" s="11" t="s">
        <v>363</v>
      </c>
      <c r="B237" s="11" t="s">
        <v>233</v>
      </c>
      <c r="C237" s="11" t="s">
        <v>295</v>
      </c>
      <c r="D237" s="11" t="s">
        <v>1131</v>
      </c>
      <c r="E237" s="11">
        <v>1.0638849999999973</v>
      </c>
    </row>
    <row r="238" spans="1:5" ht="24.75">
      <c r="A238" s="11" t="s">
        <v>363</v>
      </c>
      <c r="B238" s="11" t="s">
        <v>233</v>
      </c>
      <c r="C238" s="11" t="s">
        <v>295</v>
      </c>
      <c r="D238" s="11" t="s">
        <v>1132</v>
      </c>
      <c r="E238" s="11">
        <v>0.80205000000001891</v>
      </c>
    </row>
    <row r="239" spans="1:5" ht="24.75">
      <c r="A239" s="11" t="s">
        <v>363</v>
      </c>
      <c r="B239" s="11" t="s">
        <v>233</v>
      </c>
      <c r="C239" s="11" t="s">
        <v>295</v>
      </c>
      <c r="D239" s="11" t="s">
        <v>1133</v>
      </c>
      <c r="E239" s="11">
        <v>1.0438849999999984</v>
      </c>
    </row>
    <row r="240" spans="1:5" ht="24.75">
      <c r="A240" s="11" t="s">
        <v>363</v>
      </c>
      <c r="B240" s="11" t="s">
        <v>233</v>
      </c>
      <c r="C240" s="11" t="s">
        <v>295</v>
      </c>
      <c r="D240" s="11" t="s">
        <v>1134</v>
      </c>
      <c r="E240" s="11">
        <v>0.39230879615154796</v>
      </c>
    </row>
    <row r="241" spans="1:5" ht="24.75">
      <c r="A241" s="11" t="s">
        <v>363</v>
      </c>
      <c r="B241" s="11" t="s">
        <v>233</v>
      </c>
      <c r="C241" s="11" t="s">
        <v>295</v>
      </c>
      <c r="D241" s="11" t="s">
        <v>1135</v>
      </c>
      <c r="E241" s="11">
        <v>1.8705293142896107</v>
      </c>
    </row>
    <row r="242" spans="1:5" ht="24.75">
      <c r="A242" s="11" t="s">
        <v>363</v>
      </c>
      <c r="B242" s="11" t="s">
        <v>233</v>
      </c>
      <c r="C242" s="11" t="s">
        <v>295</v>
      </c>
      <c r="D242" s="11" t="s">
        <v>1136</v>
      </c>
      <c r="E242" s="11">
        <v>0.8617250000000104</v>
      </c>
    </row>
    <row r="243" spans="1:5" ht="24.75">
      <c r="A243" s="11" t="s">
        <v>363</v>
      </c>
      <c r="B243" s="11" t="s">
        <v>233</v>
      </c>
      <c r="C243" s="11" t="s">
        <v>295</v>
      </c>
      <c r="D243" s="11" t="s">
        <v>1137</v>
      </c>
      <c r="E243" s="11">
        <v>0.73570006160000123</v>
      </c>
    </row>
    <row r="244" spans="1:5" ht="24.75">
      <c r="A244" s="11" t="s">
        <v>363</v>
      </c>
      <c r="B244" s="11" t="s">
        <v>233</v>
      </c>
      <c r="C244" s="11" t="s">
        <v>295</v>
      </c>
      <c r="D244" s="11" t="s">
        <v>1138</v>
      </c>
      <c r="E244" s="11">
        <v>0.18122500216654366</v>
      </c>
    </row>
    <row r="245" spans="1:5" ht="24.75">
      <c r="A245" s="11" t="s">
        <v>363</v>
      </c>
      <c r="B245" s="11" t="s">
        <v>233</v>
      </c>
      <c r="C245" s="11" t="s">
        <v>295</v>
      </c>
      <c r="D245" s="11" t="s">
        <v>1139</v>
      </c>
      <c r="E245" s="11">
        <v>6.7073747370004086E-2</v>
      </c>
    </row>
    <row r="246" spans="1:5" ht="24.75">
      <c r="A246" s="11" t="s">
        <v>363</v>
      </c>
      <c r="B246" s="11" t="s">
        <v>233</v>
      </c>
      <c r="C246" s="11" t="s">
        <v>295</v>
      </c>
      <c r="D246" s="11" t="s">
        <v>1140</v>
      </c>
      <c r="E246" s="11">
        <v>17.464508355130437</v>
      </c>
    </row>
    <row r="247" spans="1:5" ht="24.75">
      <c r="A247" s="11" t="s">
        <v>363</v>
      </c>
      <c r="B247" s="11" t="s">
        <v>233</v>
      </c>
      <c r="C247" s="11" t="s">
        <v>295</v>
      </c>
      <c r="D247" s="11" t="s">
        <v>1141</v>
      </c>
      <c r="E247" s="11">
        <v>17.665951719372078</v>
      </c>
    </row>
    <row r="248" spans="1:5" ht="24.75">
      <c r="A248" s="11" t="s">
        <v>363</v>
      </c>
      <c r="B248" s="11" t="s">
        <v>233</v>
      </c>
      <c r="C248" s="11" t="s">
        <v>295</v>
      </c>
      <c r="D248" s="11" t="s">
        <v>1142</v>
      </c>
      <c r="E248" s="11">
        <v>4.5808825106017839</v>
      </c>
    </row>
    <row r="249" spans="1:5" ht="24.75">
      <c r="A249" s="11" t="s">
        <v>363</v>
      </c>
      <c r="B249" s="11" t="s">
        <v>233</v>
      </c>
      <c r="C249" s="11" t="s">
        <v>295</v>
      </c>
      <c r="D249" s="11" t="s">
        <v>1143</v>
      </c>
      <c r="E249" s="11">
        <v>0.74678941699307744</v>
      </c>
    </row>
    <row r="250" spans="1:5" ht="24.75">
      <c r="A250" s="11" t="s">
        <v>363</v>
      </c>
      <c r="B250" s="11" t="s">
        <v>233</v>
      </c>
      <c r="C250" s="11" t="s">
        <v>295</v>
      </c>
      <c r="D250" s="11" t="s">
        <v>1144</v>
      </c>
      <c r="E250" s="11">
        <v>0.86568889195881915</v>
      </c>
    </row>
    <row r="251" spans="1:5" ht="24.75">
      <c r="A251" s="11" t="s">
        <v>363</v>
      </c>
      <c r="B251" s="11" t="s">
        <v>233</v>
      </c>
      <c r="C251" s="11" t="s">
        <v>295</v>
      </c>
      <c r="D251" s="11" t="s">
        <v>1145</v>
      </c>
      <c r="E251" s="11">
        <v>1.2898374505121883</v>
      </c>
    </row>
    <row r="252" spans="1:5" ht="24.75">
      <c r="A252" s="11" t="s">
        <v>363</v>
      </c>
      <c r="B252" s="11" t="s">
        <v>233</v>
      </c>
      <c r="C252" s="11" t="s">
        <v>295</v>
      </c>
      <c r="D252" s="11" t="s">
        <v>1146</v>
      </c>
      <c r="E252" s="11">
        <v>0.37351017590551999</v>
      </c>
    </row>
    <row r="253" spans="1:5" ht="24.75">
      <c r="A253" s="11" t="s">
        <v>363</v>
      </c>
      <c r="B253" s="11" t="s">
        <v>233</v>
      </c>
      <c r="C253" s="11" t="s">
        <v>295</v>
      </c>
      <c r="D253" s="11" t="s">
        <v>1147</v>
      </c>
      <c r="E253" s="11">
        <v>7.5226100000000002</v>
      </c>
    </row>
    <row r="254" spans="1:5" ht="24.75">
      <c r="A254" s="11" t="s">
        <v>363</v>
      </c>
      <c r="B254" s="11" t="s">
        <v>233</v>
      </c>
      <c r="C254" s="11" t="s">
        <v>295</v>
      </c>
      <c r="D254" s="11" t="s">
        <v>1148</v>
      </c>
      <c r="E254" s="11">
        <v>0.15603748976376461</v>
      </c>
    </row>
    <row r="255" spans="1:5" ht="24.75">
      <c r="A255" s="11" t="s">
        <v>363</v>
      </c>
      <c r="B255" s="11" t="s">
        <v>233</v>
      </c>
      <c r="C255" s="11" t="s">
        <v>295</v>
      </c>
      <c r="D255" s="11" t="s">
        <v>1149</v>
      </c>
      <c r="E255" s="11">
        <v>0.15603745201599509</v>
      </c>
    </row>
    <row r="256" spans="1:5" ht="24.75">
      <c r="A256" s="11" t="s">
        <v>363</v>
      </c>
      <c r="B256" s="11" t="s">
        <v>233</v>
      </c>
      <c r="C256" s="11" t="s">
        <v>295</v>
      </c>
      <c r="D256" s="11" t="s">
        <v>1150</v>
      </c>
      <c r="E256" s="11">
        <v>0.15603748542917684</v>
      </c>
    </row>
    <row r="257" spans="1:5" ht="24.75">
      <c r="A257" s="11" t="s">
        <v>363</v>
      </c>
      <c r="B257" s="11" t="s">
        <v>233</v>
      </c>
      <c r="C257" s="11" t="s">
        <v>295</v>
      </c>
      <c r="D257" s="11" t="s">
        <v>1151</v>
      </c>
      <c r="E257" s="11">
        <v>0.15582976923296271</v>
      </c>
    </row>
    <row r="258" spans="1:5" ht="24.75">
      <c r="A258" s="11" t="s">
        <v>363</v>
      </c>
      <c r="B258" s="11" t="s">
        <v>233</v>
      </c>
      <c r="C258" s="11" t="s">
        <v>295</v>
      </c>
      <c r="D258" s="11" t="s">
        <v>1152</v>
      </c>
      <c r="E258" s="11">
        <v>0.15603748632954975</v>
      </c>
    </row>
    <row r="259" spans="1:5" ht="24.75">
      <c r="A259" s="11" t="s">
        <v>363</v>
      </c>
      <c r="B259" s="11" t="s">
        <v>233</v>
      </c>
      <c r="C259" s="11" t="s">
        <v>295</v>
      </c>
      <c r="D259" s="11" t="s">
        <v>1153</v>
      </c>
      <c r="E259" s="11">
        <v>0.15603748632954975</v>
      </c>
    </row>
    <row r="260" spans="1:5" ht="24.75">
      <c r="A260" s="11" t="s">
        <v>363</v>
      </c>
      <c r="B260" s="11" t="s">
        <v>233</v>
      </c>
      <c r="C260" s="11" t="s">
        <v>295</v>
      </c>
      <c r="D260" s="11" t="s">
        <v>1154</v>
      </c>
      <c r="E260" s="11">
        <v>0.39291836211024267</v>
      </c>
    </row>
    <row r="261" spans="1:5" ht="24.75">
      <c r="A261" s="11" t="s">
        <v>363</v>
      </c>
      <c r="B261" s="11" t="s">
        <v>233</v>
      </c>
      <c r="C261" s="11" t="s">
        <v>295</v>
      </c>
      <c r="D261" s="11" t="s">
        <v>1155</v>
      </c>
      <c r="E261" s="11">
        <v>0.44717645371155007</v>
      </c>
    </row>
    <row r="262" spans="1:5" ht="24.75">
      <c r="A262" s="11" t="s">
        <v>363</v>
      </c>
      <c r="B262" s="11" t="s">
        <v>233</v>
      </c>
      <c r="C262" s="11" t="s">
        <v>295</v>
      </c>
      <c r="D262" s="11" t="s">
        <v>1156</v>
      </c>
      <c r="E262" s="11">
        <v>5.6116582415460483</v>
      </c>
    </row>
    <row r="263" spans="1:5" ht="24.75">
      <c r="A263" s="11" t="s">
        <v>363</v>
      </c>
      <c r="B263" s="11" t="s">
        <v>233</v>
      </c>
      <c r="C263" s="11" t="s">
        <v>295</v>
      </c>
      <c r="D263" s="11" t="s">
        <v>1157</v>
      </c>
      <c r="E263" s="11">
        <v>5.6009263375878726</v>
      </c>
    </row>
    <row r="264" spans="1:5" ht="24.75">
      <c r="A264" s="11" t="s">
        <v>363</v>
      </c>
      <c r="B264" s="11" t="s">
        <v>233</v>
      </c>
      <c r="C264" s="11" t="s">
        <v>295</v>
      </c>
      <c r="D264" s="11" t="s">
        <v>1158</v>
      </c>
      <c r="E264" s="11">
        <v>0.11710815878465961</v>
      </c>
    </row>
    <row r="265" spans="1:5" ht="24.75">
      <c r="A265" s="11" t="s">
        <v>363</v>
      </c>
      <c r="B265" s="11" t="s">
        <v>233</v>
      </c>
      <c r="C265" s="11" t="s">
        <v>295</v>
      </c>
      <c r="D265" s="11" t="s">
        <v>1159</v>
      </c>
      <c r="E265" s="11">
        <v>0.11854556657251544</v>
      </c>
    </row>
    <row r="266" spans="1:5" ht="24.75">
      <c r="A266" s="11" t="s">
        <v>363</v>
      </c>
      <c r="B266" s="11" t="s">
        <v>233</v>
      </c>
      <c r="C266" s="11" t="s">
        <v>295</v>
      </c>
      <c r="D266" s="11" t="s">
        <v>1160</v>
      </c>
      <c r="E266" s="11">
        <v>0.2369644334274959</v>
      </c>
    </row>
    <row r="267" spans="1:5" ht="24.75">
      <c r="A267" s="11" t="s">
        <v>363</v>
      </c>
      <c r="B267" s="11" t="s">
        <v>233</v>
      </c>
      <c r="C267" s="11" t="s">
        <v>295</v>
      </c>
      <c r="D267" s="11" t="s">
        <v>1161</v>
      </c>
      <c r="E267" s="11">
        <v>1.5893996824297469</v>
      </c>
    </row>
    <row r="268" spans="1:5" ht="24.75">
      <c r="A268" s="11" t="s">
        <v>363</v>
      </c>
      <c r="B268" s="11" t="s">
        <v>233</v>
      </c>
      <c r="C268" s="11" t="s">
        <v>295</v>
      </c>
      <c r="D268" s="11" t="s">
        <v>1162</v>
      </c>
      <c r="E268" s="11">
        <v>0.27765851070560588</v>
      </c>
    </row>
    <row r="269" spans="1:5" ht="24.75">
      <c r="A269" s="11" t="s">
        <v>363</v>
      </c>
      <c r="B269" s="11" t="s">
        <v>233</v>
      </c>
      <c r="C269" s="11" t="s">
        <v>295</v>
      </c>
      <c r="D269" s="11" t="s">
        <v>1163</v>
      </c>
      <c r="E269" s="11">
        <v>0.12407027059914495</v>
      </c>
    </row>
    <row r="270" spans="1:5" ht="24.75">
      <c r="A270" s="11" t="s">
        <v>363</v>
      </c>
      <c r="B270" s="11" t="s">
        <v>233</v>
      </c>
      <c r="C270" s="11" t="s">
        <v>295</v>
      </c>
      <c r="D270" s="11" t="s">
        <v>1164</v>
      </c>
      <c r="E270" s="11">
        <v>0.29693972940085556</v>
      </c>
    </row>
    <row r="271" spans="1:5" ht="24.75">
      <c r="A271" s="11" t="s">
        <v>363</v>
      </c>
      <c r="B271" s="11" t="s">
        <v>233</v>
      </c>
      <c r="C271" s="11" t="s">
        <v>295</v>
      </c>
      <c r="D271" s="11" t="s">
        <v>1165</v>
      </c>
      <c r="E271" s="11">
        <v>0.18038342079757327</v>
      </c>
    </row>
    <row r="272" spans="1:5" ht="24.75">
      <c r="A272" s="11" t="s">
        <v>363</v>
      </c>
      <c r="B272" s="11" t="s">
        <v>233</v>
      </c>
      <c r="C272" s="11" t="s">
        <v>295</v>
      </c>
      <c r="D272" s="11" t="s">
        <v>1166</v>
      </c>
      <c r="E272" s="11">
        <v>0.73050102351056057</v>
      </c>
    </row>
    <row r="273" spans="1:5" ht="24.75">
      <c r="A273" s="11" t="s">
        <v>363</v>
      </c>
      <c r="B273" s="11" t="s">
        <v>233</v>
      </c>
      <c r="C273" s="11" t="s">
        <v>295</v>
      </c>
      <c r="D273" s="11" t="s">
        <v>1167</v>
      </c>
      <c r="E273" s="11">
        <v>0.87622648305375983</v>
      </c>
    </row>
    <row r="274" spans="1:5" ht="24.75">
      <c r="A274" s="11" t="s">
        <v>363</v>
      </c>
      <c r="B274" s="11" t="s">
        <v>233</v>
      </c>
      <c r="C274" s="11" t="s">
        <v>295</v>
      </c>
      <c r="D274" s="11" t="s">
        <v>1168</v>
      </c>
      <c r="E274" s="11">
        <v>0.11344791218107407</v>
      </c>
    </row>
    <row r="275" spans="1:5" ht="24.75">
      <c r="A275" s="11" t="s">
        <v>363</v>
      </c>
      <c r="B275" s="11" t="s">
        <v>233</v>
      </c>
      <c r="C275" s="11" t="s">
        <v>295</v>
      </c>
      <c r="D275" s="11" t="s">
        <v>1169</v>
      </c>
      <c r="E275" s="11">
        <v>0.11499999999999998</v>
      </c>
    </row>
    <row r="276" spans="1:5" ht="24.75">
      <c r="A276" s="11" t="s">
        <v>363</v>
      </c>
      <c r="B276" s="11" t="s">
        <v>233</v>
      </c>
      <c r="C276" s="11" t="s">
        <v>295</v>
      </c>
      <c r="D276" s="11" t="s">
        <v>1170</v>
      </c>
      <c r="E276" s="11">
        <v>0.11344790855945346</v>
      </c>
    </row>
    <row r="277" spans="1:5" ht="24.75">
      <c r="A277" s="11" t="s">
        <v>363</v>
      </c>
      <c r="B277" s="11" t="s">
        <v>233</v>
      </c>
      <c r="C277" s="11" t="s">
        <v>295</v>
      </c>
      <c r="D277" s="11" t="s">
        <v>1171</v>
      </c>
      <c r="E277" s="11">
        <v>0.11344790784256165</v>
      </c>
    </row>
    <row r="278" spans="1:5" ht="24.75">
      <c r="A278" s="11" t="s">
        <v>363</v>
      </c>
      <c r="B278" s="11" t="s">
        <v>233</v>
      </c>
      <c r="C278" s="11" t="s">
        <v>295</v>
      </c>
      <c r="D278" s="11" t="s">
        <v>1172</v>
      </c>
      <c r="E278" s="11">
        <v>0.11344790776035998</v>
      </c>
    </row>
    <row r="279" spans="1:5" ht="24.75">
      <c r="A279" s="11" t="s">
        <v>363</v>
      </c>
      <c r="B279" s="11" t="s">
        <v>233</v>
      </c>
      <c r="C279" s="11" t="s">
        <v>295</v>
      </c>
      <c r="D279" s="11" t="s">
        <v>1173</v>
      </c>
      <c r="E279" s="11">
        <v>0.25703653137882765</v>
      </c>
    </row>
    <row r="280" spans="1:5" ht="24.75">
      <c r="A280" s="11" t="s">
        <v>363</v>
      </c>
      <c r="B280" s="11" t="s">
        <v>233</v>
      </c>
      <c r="C280" s="11" t="s">
        <v>295</v>
      </c>
      <c r="D280" s="11" t="s">
        <v>1174</v>
      </c>
      <c r="E280" s="11">
        <v>4.8369306264592646</v>
      </c>
    </row>
    <row r="281" spans="1:5" ht="24.75">
      <c r="A281" s="11" t="s">
        <v>363</v>
      </c>
      <c r="B281" s="11" t="s">
        <v>233</v>
      </c>
      <c r="C281" s="11" t="s">
        <v>295</v>
      </c>
      <c r="D281" s="11" t="s">
        <v>1175</v>
      </c>
      <c r="E281" s="11">
        <v>8.3087599440010526E-2</v>
      </c>
    </row>
    <row r="282" spans="1:5" ht="24.75">
      <c r="A282" s="11" t="s">
        <v>363</v>
      </c>
      <c r="B282" s="11" t="s">
        <v>233</v>
      </c>
      <c r="C282" s="11" t="s">
        <v>295</v>
      </c>
      <c r="D282" s="11" t="s">
        <v>1176</v>
      </c>
      <c r="E282" s="11">
        <v>1.6701653562423486</v>
      </c>
    </row>
    <row r="283" spans="1:5" ht="24.75">
      <c r="A283" s="11" t="s">
        <v>363</v>
      </c>
      <c r="B283" s="11" t="s">
        <v>233</v>
      </c>
      <c r="C283" s="11" t="s">
        <v>295</v>
      </c>
      <c r="D283" s="11" t="s">
        <v>1177</v>
      </c>
      <c r="E283" s="11">
        <v>0.10163583621992471</v>
      </c>
    </row>
    <row r="284" spans="1:5" ht="24.75">
      <c r="A284" s="11" t="s">
        <v>363</v>
      </c>
      <c r="B284" s="11" t="s">
        <v>233</v>
      </c>
      <c r="C284" s="11" t="s">
        <v>295</v>
      </c>
      <c r="D284" s="11" t="s">
        <v>1178</v>
      </c>
      <c r="E284" s="11">
        <v>9.7253885043933785E-2</v>
      </c>
    </row>
    <row r="285" spans="1:5" ht="24.75">
      <c r="A285" s="11" t="s">
        <v>363</v>
      </c>
      <c r="B285" s="11" t="s">
        <v>233</v>
      </c>
      <c r="C285" s="11" t="s">
        <v>295</v>
      </c>
      <c r="D285" s="11" t="s">
        <v>1179</v>
      </c>
      <c r="E285" s="11">
        <v>0.69700999999999957</v>
      </c>
    </row>
    <row r="286" spans="1:5" ht="24.75">
      <c r="A286" s="11" t="s">
        <v>363</v>
      </c>
      <c r="B286" s="11" t="s">
        <v>233</v>
      </c>
      <c r="C286" s="11" t="s">
        <v>295</v>
      </c>
      <c r="D286" s="11" t="s">
        <v>1180</v>
      </c>
      <c r="E286" s="11">
        <v>1.0170097533442799</v>
      </c>
    </row>
    <row r="287" spans="1:5" ht="24.75">
      <c r="A287" s="11" t="s">
        <v>363</v>
      </c>
      <c r="B287" s="11" t="s">
        <v>233</v>
      </c>
      <c r="C287" s="11" t="s">
        <v>295</v>
      </c>
      <c r="D287" s="11" t="s">
        <v>1181</v>
      </c>
      <c r="E287" s="11">
        <v>0.19483119592888032</v>
      </c>
    </row>
    <row r="288" spans="1:5" ht="24.75">
      <c r="A288" s="11" t="s">
        <v>363</v>
      </c>
      <c r="B288" s="11" t="s">
        <v>233</v>
      </c>
      <c r="C288" s="11" t="s">
        <v>295</v>
      </c>
      <c r="D288" s="11" t="s">
        <v>1182</v>
      </c>
      <c r="E288" s="11">
        <v>0.51551352932070338</v>
      </c>
    </row>
    <row r="289" spans="1:5" ht="24.75">
      <c r="A289" s="11" t="s">
        <v>363</v>
      </c>
      <c r="B289" s="11" t="s">
        <v>233</v>
      </c>
      <c r="C289" s="11" t="s">
        <v>295</v>
      </c>
      <c r="D289" s="11" t="s">
        <v>1183</v>
      </c>
      <c r="E289" s="11">
        <v>1.5155794783299787</v>
      </c>
    </row>
    <row r="290" spans="1:5" ht="24.75">
      <c r="A290" s="11" t="s">
        <v>363</v>
      </c>
      <c r="B290" s="11" t="s">
        <v>233</v>
      </c>
      <c r="C290" s="11" t="s">
        <v>295</v>
      </c>
      <c r="D290" s="11" t="s">
        <v>1184</v>
      </c>
      <c r="E290" s="11">
        <v>0.14948447467307627</v>
      </c>
    </row>
    <row r="291" spans="1:5" ht="24.75">
      <c r="A291" s="11" t="s">
        <v>363</v>
      </c>
      <c r="B291" s="11" t="s">
        <v>233</v>
      </c>
      <c r="C291" s="11" t="s">
        <v>295</v>
      </c>
      <c r="D291" s="11" t="s">
        <v>1185</v>
      </c>
      <c r="E291" s="11">
        <v>2.3448672168887863</v>
      </c>
    </row>
    <row r="292" spans="1:5" ht="24.75">
      <c r="A292" s="11" t="s">
        <v>363</v>
      </c>
      <c r="B292" s="11" t="s">
        <v>233</v>
      </c>
      <c r="C292" s="11" t="s">
        <v>295</v>
      </c>
      <c r="D292" s="11" t="s">
        <v>1186</v>
      </c>
      <c r="E292" s="11">
        <v>4.6698671390205364</v>
      </c>
    </row>
    <row r="293" spans="1:5" ht="24.75">
      <c r="A293" s="11" t="s">
        <v>363</v>
      </c>
      <c r="B293" s="11" t="s">
        <v>233</v>
      </c>
      <c r="C293" s="11" t="s">
        <v>295</v>
      </c>
      <c r="D293" s="11" t="s">
        <v>1187</v>
      </c>
      <c r="E293" s="11">
        <v>1.1603280499275352</v>
      </c>
    </row>
    <row r="294" spans="1:5" ht="24.75">
      <c r="A294" s="11" t="s">
        <v>363</v>
      </c>
      <c r="B294" s="11" t="s">
        <v>233</v>
      </c>
      <c r="C294" s="11" t="s">
        <v>295</v>
      </c>
      <c r="D294" s="11" t="s">
        <v>1188</v>
      </c>
      <c r="E294" s="11">
        <v>0.66704464723285783</v>
      </c>
    </row>
    <row r="295" spans="1:5" ht="24.75">
      <c r="A295" s="11" t="s">
        <v>363</v>
      </c>
      <c r="B295" s="11" t="s">
        <v>233</v>
      </c>
      <c r="C295" s="11" t="s">
        <v>295</v>
      </c>
      <c r="D295" s="11" t="s">
        <v>1189</v>
      </c>
      <c r="E295" s="11">
        <v>3.0472997680421252</v>
      </c>
    </row>
    <row r="296" spans="1:5" ht="24.75">
      <c r="A296" s="11" t="s">
        <v>363</v>
      </c>
      <c r="B296" s="11" t="s">
        <v>233</v>
      </c>
      <c r="C296" s="11" t="s">
        <v>295</v>
      </c>
      <c r="D296" s="11" t="s">
        <v>1190</v>
      </c>
      <c r="E296" s="11">
        <v>7.3952393299929735</v>
      </c>
    </row>
    <row r="297" spans="1:5" ht="24.75">
      <c r="A297" s="11" t="s">
        <v>363</v>
      </c>
      <c r="B297" s="11" t="s">
        <v>233</v>
      </c>
      <c r="C297" s="11" t="s">
        <v>295</v>
      </c>
      <c r="D297" s="11" t="s">
        <v>1191</v>
      </c>
      <c r="E297" s="11">
        <v>5.9940999999999995</v>
      </c>
    </row>
    <row r="298" spans="1:5" ht="24.75">
      <c r="A298" s="11" t="s">
        <v>363</v>
      </c>
      <c r="B298" s="11" t="s">
        <v>233</v>
      </c>
      <c r="C298" s="11" t="s">
        <v>295</v>
      </c>
      <c r="D298" s="11" t="s">
        <v>1192</v>
      </c>
      <c r="E298" s="11">
        <v>4.5929606700070238</v>
      </c>
    </row>
    <row r="299" spans="1:5" ht="24.75">
      <c r="A299" s="11" t="s">
        <v>363</v>
      </c>
      <c r="B299" s="11" t="s">
        <v>233</v>
      </c>
      <c r="C299" s="11" t="s">
        <v>295</v>
      </c>
      <c r="D299" s="11" t="s">
        <v>1193</v>
      </c>
      <c r="E299" s="11">
        <v>5.9938954143907726</v>
      </c>
    </row>
    <row r="300" spans="1:5" ht="24.75">
      <c r="A300" s="11" t="s">
        <v>363</v>
      </c>
      <c r="B300" s="11" t="s">
        <v>233</v>
      </c>
      <c r="C300" s="11" t="s">
        <v>295</v>
      </c>
      <c r="D300" s="11" t="s">
        <v>1194</v>
      </c>
      <c r="E300" s="11">
        <v>5.9941000000000075</v>
      </c>
    </row>
    <row r="301" spans="1:5" ht="24.75">
      <c r="A301" s="11" t="s">
        <v>363</v>
      </c>
      <c r="B301" s="11" t="s">
        <v>233</v>
      </c>
      <c r="C301" s="11" t="s">
        <v>295</v>
      </c>
      <c r="D301" s="11" t="s">
        <v>1195</v>
      </c>
      <c r="E301" s="11">
        <v>5.9941000000000075</v>
      </c>
    </row>
    <row r="302" spans="1:5" ht="24.75">
      <c r="A302" s="11" t="s">
        <v>363</v>
      </c>
      <c r="B302" s="11" t="s">
        <v>233</v>
      </c>
      <c r="C302" s="11" t="s">
        <v>295</v>
      </c>
      <c r="D302" s="11" t="s">
        <v>1196</v>
      </c>
      <c r="E302" s="11">
        <v>1.4610099999999993</v>
      </c>
    </row>
    <row r="303" spans="1:5" ht="24.75">
      <c r="A303" s="11" t="s">
        <v>363</v>
      </c>
      <c r="B303" s="11" t="s">
        <v>233</v>
      </c>
      <c r="C303" s="11" t="s">
        <v>295</v>
      </c>
      <c r="D303" s="11" t="s">
        <v>1197</v>
      </c>
      <c r="E303" s="11">
        <v>4.0148698255303282E-2</v>
      </c>
    </row>
    <row r="304" spans="1:5" ht="24.75">
      <c r="A304" s="11" t="s">
        <v>363</v>
      </c>
      <c r="B304" s="11" t="s">
        <v>233</v>
      </c>
      <c r="C304" s="11" t="s">
        <v>295</v>
      </c>
      <c r="D304" s="11" t="s">
        <v>1198</v>
      </c>
      <c r="E304" s="11">
        <v>3.2146844911038048</v>
      </c>
    </row>
    <row r="305" spans="1:5" ht="24.75">
      <c r="A305" s="11" t="s">
        <v>363</v>
      </c>
      <c r="B305" s="11" t="s">
        <v>233</v>
      </c>
      <c r="C305" s="11" t="s">
        <v>295</v>
      </c>
      <c r="D305" s="11" t="s">
        <v>1199</v>
      </c>
      <c r="E305" s="11">
        <v>0.8103545231037188</v>
      </c>
    </row>
    <row r="306" spans="1:5" ht="24.75">
      <c r="A306" s="11" t="s">
        <v>363</v>
      </c>
      <c r="B306" s="11" t="s">
        <v>233</v>
      </c>
      <c r="C306" s="11" t="s">
        <v>295</v>
      </c>
      <c r="D306" s="11" t="s">
        <v>1200</v>
      </c>
      <c r="E306" s="11">
        <v>4.2364094666316916</v>
      </c>
    </row>
    <row r="307" spans="1:5" ht="24.75">
      <c r="A307" s="11" t="s">
        <v>363</v>
      </c>
      <c r="B307" s="11" t="s">
        <v>233</v>
      </c>
      <c r="C307" s="11" t="s">
        <v>295</v>
      </c>
      <c r="D307" s="11" t="s">
        <v>1201</v>
      </c>
      <c r="E307" s="11">
        <v>2.5739454231433627</v>
      </c>
    </row>
    <row r="308" spans="1:5" ht="24.75">
      <c r="A308" s="11" t="s">
        <v>363</v>
      </c>
      <c r="B308" s="11" t="s">
        <v>233</v>
      </c>
      <c r="C308" s="11" t="s">
        <v>295</v>
      </c>
      <c r="D308" s="11" t="s">
        <v>1202</v>
      </c>
      <c r="E308" s="11">
        <v>3.5222583628011219</v>
      </c>
    </row>
    <row r="309" spans="1:5" ht="24.75">
      <c r="A309" s="11" t="s">
        <v>363</v>
      </c>
      <c r="B309" s="11" t="s">
        <v>233</v>
      </c>
      <c r="C309" s="11" t="s">
        <v>295</v>
      </c>
      <c r="D309" s="11" t="s">
        <v>1203</v>
      </c>
      <c r="E309" s="11">
        <v>5.9037769664866557</v>
      </c>
    </row>
    <row r="310" spans="1:5" ht="24.75">
      <c r="A310" s="11" t="s">
        <v>363</v>
      </c>
      <c r="B310" s="11" t="s">
        <v>233</v>
      </c>
      <c r="C310" s="11" t="s">
        <v>295</v>
      </c>
      <c r="D310" s="11" t="s">
        <v>1204</v>
      </c>
      <c r="E310" s="11">
        <v>1.7938850012583469</v>
      </c>
    </row>
    <row r="311" spans="1:5" ht="24.75">
      <c r="A311" s="11" t="s">
        <v>363</v>
      </c>
      <c r="B311" s="11" t="s">
        <v>233</v>
      </c>
      <c r="C311" s="11" t="s">
        <v>295</v>
      </c>
      <c r="D311" s="11" t="s">
        <v>1205</v>
      </c>
      <c r="E311" s="11">
        <v>1.1710646133941862</v>
      </c>
    </row>
    <row r="312" spans="1:5" ht="24.75">
      <c r="A312" s="11" t="s">
        <v>363</v>
      </c>
      <c r="B312" s="11" t="s">
        <v>233</v>
      </c>
      <c r="C312" s="11" t="s">
        <v>295</v>
      </c>
      <c r="D312" s="11" t="s">
        <v>1206</v>
      </c>
      <c r="E312" s="11">
        <v>4.0810200482470638</v>
      </c>
    </row>
    <row r="313" spans="1:5" ht="24.75">
      <c r="A313" s="11" t="s">
        <v>363</v>
      </c>
      <c r="B313" s="11" t="s">
        <v>233</v>
      </c>
      <c r="C313" s="11" t="s">
        <v>295</v>
      </c>
      <c r="D313" s="11" t="s">
        <v>1207</v>
      </c>
      <c r="E313" s="11">
        <v>9.8215224132262427E-2</v>
      </c>
    </row>
    <row r="314" spans="1:5" ht="24.75">
      <c r="A314" s="11" t="s">
        <v>363</v>
      </c>
      <c r="B314" s="11" t="s">
        <v>233</v>
      </c>
      <c r="C314" s="11" t="s">
        <v>295</v>
      </c>
      <c r="D314" s="11" t="s">
        <v>1208</v>
      </c>
      <c r="E314" s="11">
        <v>3.8041256024257324</v>
      </c>
    </row>
    <row r="315" spans="1:5" ht="24.75">
      <c r="A315" s="11" t="s">
        <v>363</v>
      </c>
      <c r="B315" s="11" t="s">
        <v>233</v>
      </c>
      <c r="C315" s="11" t="s">
        <v>295</v>
      </c>
      <c r="D315" s="11" t="s">
        <v>1209</v>
      </c>
      <c r="E315" s="11">
        <v>0.20459999999999942</v>
      </c>
    </row>
    <row r="316" spans="1:5" ht="24.75">
      <c r="A316" s="11" t="s">
        <v>363</v>
      </c>
      <c r="B316" s="11" t="s">
        <v>233</v>
      </c>
      <c r="C316" s="11" t="s">
        <v>295</v>
      </c>
      <c r="D316" s="11" t="s">
        <v>1210</v>
      </c>
      <c r="E316" s="11">
        <v>0.19962707341829153</v>
      </c>
    </row>
    <row r="317" spans="1:5" ht="24.75">
      <c r="A317" s="11" t="s">
        <v>363</v>
      </c>
      <c r="B317" s="11" t="s">
        <v>233</v>
      </c>
      <c r="C317" s="11" t="s">
        <v>295</v>
      </c>
      <c r="D317" s="11" t="s">
        <v>1211</v>
      </c>
      <c r="E317" s="11">
        <v>1.867589252756557</v>
      </c>
    </row>
    <row r="318" spans="1:5" ht="24.75">
      <c r="A318" s="11" t="s">
        <v>363</v>
      </c>
      <c r="B318" s="11" t="s">
        <v>233</v>
      </c>
      <c r="C318" s="11" t="s">
        <v>295</v>
      </c>
      <c r="D318" s="11" t="s">
        <v>1212</v>
      </c>
      <c r="E318" s="11">
        <v>3.439220746970677</v>
      </c>
    </row>
    <row r="319" spans="1:5" ht="24.75">
      <c r="A319" s="11" t="s">
        <v>363</v>
      </c>
      <c r="B319" s="11" t="s">
        <v>233</v>
      </c>
      <c r="C319" s="11" t="s">
        <v>295</v>
      </c>
      <c r="D319" s="11" t="s">
        <v>1213</v>
      </c>
      <c r="E319" s="11">
        <v>0.98901000000000161</v>
      </c>
    </row>
    <row r="320" spans="1:5" ht="24.75">
      <c r="A320" s="11" t="s">
        <v>363</v>
      </c>
      <c r="B320" s="11" t="s">
        <v>233</v>
      </c>
      <c r="C320" s="11" t="s">
        <v>295</v>
      </c>
      <c r="D320" s="11" t="s">
        <v>1214</v>
      </c>
      <c r="E320" s="11">
        <v>0.9254100000000004</v>
      </c>
    </row>
    <row r="321" spans="1:5" ht="24.75">
      <c r="A321" s="11" t="s">
        <v>363</v>
      </c>
      <c r="B321" s="11" t="s">
        <v>233</v>
      </c>
      <c r="C321" s="11" t="s">
        <v>295</v>
      </c>
      <c r="D321" s="11" t="s">
        <v>1215</v>
      </c>
      <c r="E321" s="11">
        <v>0.98636000443872329</v>
      </c>
    </row>
    <row r="322" spans="1:5" ht="24.75">
      <c r="A322" s="11" t="s">
        <v>363</v>
      </c>
      <c r="B322" s="11" t="s">
        <v>233</v>
      </c>
      <c r="C322" s="11" t="s">
        <v>295</v>
      </c>
      <c r="D322" s="11" t="s">
        <v>1216</v>
      </c>
      <c r="E322" s="11">
        <v>0.21157746997101962</v>
      </c>
    </row>
    <row r="323" spans="1:5" ht="24.75">
      <c r="A323" s="11" t="s">
        <v>363</v>
      </c>
      <c r="B323" s="11" t="s">
        <v>233</v>
      </c>
      <c r="C323" s="11" t="s">
        <v>295</v>
      </c>
      <c r="D323" s="11" t="s">
        <v>1217</v>
      </c>
      <c r="E323" s="11">
        <v>0.98857499999999776</v>
      </c>
    </row>
    <row r="324" spans="1:5" ht="24.75">
      <c r="A324" s="11" t="s">
        <v>363</v>
      </c>
      <c r="B324" s="11" t="s">
        <v>233</v>
      </c>
      <c r="C324" s="11" t="s">
        <v>295</v>
      </c>
      <c r="D324" s="11" t="s">
        <v>1218</v>
      </c>
      <c r="E324" s="11">
        <v>1.0970100000000007</v>
      </c>
    </row>
    <row r="325" spans="1:5" ht="24.75">
      <c r="A325" s="11" t="s">
        <v>363</v>
      </c>
      <c r="B325" s="11" t="s">
        <v>233</v>
      </c>
      <c r="C325" s="11" t="s">
        <v>295</v>
      </c>
      <c r="D325" s="11" t="s">
        <v>1219</v>
      </c>
      <c r="E325" s="11">
        <v>0.41651000216654849</v>
      </c>
    </row>
    <row r="326" spans="1:5" ht="24.75">
      <c r="A326" s="11" t="s">
        <v>363</v>
      </c>
      <c r="B326" s="11" t="s">
        <v>233</v>
      </c>
      <c r="C326" s="11" t="s">
        <v>295</v>
      </c>
      <c r="D326" s="11" t="s">
        <v>1220</v>
      </c>
      <c r="E326" s="11">
        <v>0.95541000241249685</v>
      </c>
    </row>
    <row r="327" spans="1:5" ht="24.75">
      <c r="A327" s="11" t="s">
        <v>363</v>
      </c>
      <c r="B327" s="11" t="s">
        <v>233</v>
      </c>
      <c r="C327" s="11" t="s">
        <v>295</v>
      </c>
      <c r="D327" s="11" t="s">
        <v>1221</v>
      </c>
      <c r="E327" s="11">
        <v>0.80205000000000515</v>
      </c>
    </row>
    <row r="328" spans="1:5" ht="24.75">
      <c r="A328" s="11" t="s">
        <v>363</v>
      </c>
      <c r="B328" s="11" t="s">
        <v>233</v>
      </c>
      <c r="C328" s="11" t="s">
        <v>295</v>
      </c>
      <c r="D328" s="11" t="s">
        <v>1222</v>
      </c>
      <c r="E328" s="11">
        <v>9.0085315415959544E-2</v>
      </c>
    </row>
    <row r="329" spans="1:5" ht="24.75">
      <c r="A329" s="11" t="s">
        <v>363</v>
      </c>
      <c r="B329" s="11" t="s">
        <v>233</v>
      </c>
      <c r="C329" s="11" t="s">
        <v>295</v>
      </c>
      <c r="D329" s="11" t="s">
        <v>1223</v>
      </c>
      <c r="E329" s="11">
        <v>0.27585585313901329</v>
      </c>
    </row>
    <row r="330" spans="1:5" ht="24.75">
      <c r="A330" s="11" t="s">
        <v>363</v>
      </c>
      <c r="B330" s="11" t="s">
        <v>233</v>
      </c>
      <c r="C330" s="11" t="s">
        <v>295</v>
      </c>
      <c r="D330" s="11" t="s">
        <v>1224</v>
      </c>
      <c r="E330" s="11">
        <v>1.0970099999999998</v>
      </c>
    </row>
    <row r="331" spans="1:5" ht="24.75">
      <c r="A331" s="11" t="s">
        <v>363</v>
      </c>
      <c r="B331" s="11" t="s">
        <v>233</v>
      </c>
      <c r="C331" s="11" t="s">
        <v>295</v>
      </c>
      <c r="D331" s="11" t="s">
        <v>1225</v>
      </c>
      <c r="E331" s="11">
        <v>1.0720101228782384</v>
      </c>
    </row>
    <row r="332" spans="1:5" ht="24.75">
      <c r="A332" s="11" t="s">
        <v>363</v>
      </c>
      <c r="B332" s="11" t="s">
        <v>233</v>
      </c>
      <c r="C332" s="11" t="s">
        <v>295</v>
      </c>
      <c r="D332" s="11" t="s">
        <v>1226</v>
      </c>
      <c r="E332" s="11">
        <v>0.26374166062010923</v>
      </c>
    </row>
    <row r="333" spans="1:5" ht="24.75">
      <c r="A333" s="11" t="s">
        <v>363</v>
      </c>
      <c r="B333" s="11" t="s">
        <v>233</v>
      </c>
      <c r="C333" s="11" t="s">
        <v>295</v>
      </c>
      <c r="D333" s="11" t="s">
        <v>1227</v>
      </c>
      <c r="E333" s="11">
        <v>1.0970099999999998</v>
      </c>
    </row>
    <row r="334" spans="1:5" ht="24.75">
      <c r="A334" s="11" t="s">
        <v>363</v>
      </c>
      <c r="B334" s="11" t="s">
        <v>233</v>
      </c>
      <c r="C334" s="11" t="s">
        <v>295</v>
      </c>
      <c r="D334" s="11" t="s">
        <v>1228</v>
      </c>
      <c r="E334" s="11">
        <v>1.0593968288008828</v>
      </c>
    </row>
    <row r="335" spans="1:5" ht="24.75">
      <c r="A335" s="11" t="s">
        <v>363</v>
      </c>
      <c r="B335" s="11" t="s">
        <v>233</v>
      </c>
      <c r="C335" s="11" t="s">
        <v>295</v>
      </c>
      <c r="D335" s="11" t="s">
        <v>1229</v>
      </c>
      <c r="E335" s="11">
        <v>0.39990311099053394</v>
      </c>
    </row>
    <row r="336" spans="1:5" ht="24.75">
      <c r="A336" s="11" t="s">
        <v>363</v>
      </c>
      <c r="B336" s="11" t="s">
        <v>233</v>
      </c>
      <c r="C336" s="11" t="s">
        <v>295</v>
      </c>
      <c r="D336" s="11" t="s">
        <v>1230</v>
      </c>
      <c r="E336" s="11">
        <v>1.0970100000000003</v>
      </c>
    </row>
    <row r="337" spans="1:5" ht="24.75">
      <c r="A337" s="11" t="s">
        <v>363</v>
      </c>
      <c r="B337" s="11" t="s">
        <v>233</v>
      </c>
      <c r="C337" s="11" t="s">
        <v>295</v>
      </c>
      <c r="D337" s="11" t="s">
        <v>1231</v>
      </c>
      <c r="E337" s="11">
        <v>0.13822726325996434</v>
      </c>
    </row>
    <row r="338" spans="1:5" ht="24.75">
      <c r="A338" s="11" t="s">
        <v>363</v>
      </c>
      <c r="B338" s="11" t="s">
        <v>233</v>
      </c>
      <c r="C338" s="11" t="s">
        <v>295</v>
      </c>
      <c r="D338" s="11" t="s">
        <v>1232</v>
      </c>
      <c r="E338" s="11">
        <v>0.97201000000000004</v>
      </c>
    </row>
    <row r="339" spans="1:5" ht="24.75">
      <c r="A339" s="11" t="s">
        <v>363</v>
      </c>
      <c r="B339" s="11" t="s">
        <v>233</v>
      </c>
      <c r="C339" s="11" t="s">
        <v>295</v>
      </c>
      <c r="D339" s="11" t="s">
        <v>1233</v>
      </c>
      <c r="E339" s="11">
        <v>3.3402794391361126</v>
      </c>
    </row>
    <row r="340" spans="1:5" ht="24.75">
      <c r="A340" s="11" t="s">
        <v>363</v>
      </c>
      <c r="B340" s="11" t="s">
        <v>233</v>
      </c>
      <c r="C340" s="11" t="s">
        <v>295</v>
      </c>
      <c r="D340" s="11" t="s">
        <v>1234</v>
      </c>
      <c r="E340" s="11">
        <v>6.3900001720485516E-2</v>
      </c>
    </row>
    <row r="341" spans="1:5" ht="24.75">
      <c r="A341" s="11" t="s">
        <v>363</v>
      </c>
      <c r="B341" s="11" t="s">
        <v>233</v>
      </c>
      <c r="C341" s="11" t="s">
        <v>295</v>
      </c>
      <c r="D341" s="11" t="s">
        <v>1235</v>
      </c>
      <c r="E341" s="11">
        <v>6.3903116042660177E-2</v>
      </c>
    </row>
    <row r="342" spans="1:5" ht="24.75">
      <c r="A342" s="11" t="s">
        <v>363</v>
      </c>
      <c r="B342" s="11" t="s">
        <v>233</v>
      </c>
      <c r="C342" s="11" t="s">
        <v>295</v>
      </c>
      <c r="D342" s="11" t="s">
        <v>1236</v>
      </c>
      <c r="E342" s="11">
        <v>6.5110000000004026E-2</v>
      </c>
    </row>
    <row r="343" spans="1:5" ht="24.75">
      <c r="A343" s="11" t="s">
        <v>363</v>
      </c>
      <c r="B343" s="11" t="s">
        <v>233</v>
      </c>
      <c r="C343" s="11" t="s">
        <v>295</v>
      </c>
      <c r="D343" s="11" t="s">
        <v>1237</v>
      </c>
      <c r="E343" s="11">
        <v>4.4473814338336179</v>
      </c>
    </row>
    <row r="344" spans="1:5" ht="24.75">
      <c r="A344" s="11" t="s">
        <v>363</v>
      </c>
      <c r="B344" s="11" t="s">
        <v>233</v>
      </c>
      <c r="C344" s="11" t="s">
        <v>295</v>
      </c>
      <c r="D344" s="11" t="s">
        <v>1238</v>
      </c>
      <c r="E344" s="11">
        <v>4.2898266149141202</v>
      </c>
    </row>
    <row r="345" spans="1:5" ht="24.75">
      <c r="A345" s="11" t="s">
        <v>363</v>
      </c>
      <c r="B345" s="11" t="s">
        <v>233</v>
      </c>
      <c r="C345" s="11" t="s">
        <v>295</v>
      </c>
      <c r="D345" s="11" t="s">
        <v>1239</v>
      </c>
      <c r="E345" s="11">
        <v>4.7417118777418121</v>
      </c>
    </row>
    <row r="346" spans="1:5" ht="24.75">
      <c r="A346" s="11" t="s">
        <v>363</v>
      </c>
      <c r="B346" s="11" t="s">
        <v>233</v>
      </c>
      <c r="C346" s="11" t="s">
        <v>295</v>
      </c>
      <c r="D346" s="11" t="s">
        <v>1240</v>
      </c>
      <c r="E346" s="11">
        <v>1.0815680607478599</v>
      </c>
    </row>
    <row r="347" spans="1:5" ht="24.75">
      <c r="A347" s="11" t="s">
        <v>363</v>
      </c>
      <c r="B347" s="11" t="s">
        <v>233</v>
      </c>
      <c r="C347" s="11" t="s">
        <v>295</v>
      </c>
      <c r="D347" s="11" t="s">
        <v>1241</v>
      </c>
      <c r="E347" s="11">
        <v>6.26099927671908E-2</v>
      </c>
    </row>
    <row r="348" spans="1:5" ht="24.75">
      <c r="A348" s="11" t="s">
        <v>363</v>
      </c>
      <c r="B348" s="11" t="s">
        <v>233</v>
      </c>
      <c r="C348" s="11" t="s">
        <v>295</v>
      </c>
      <c r="D348" s="11" t="s">
        <v>1242</v>
      </c>
      <c r="E348" s="11">
        <v>3.3262792843124305</v>
      </c>
    </row>
    <row r="349" spans="1:5" ht="24.75">
      <c r="A349" s="11" t="s">
        <v>363</v>
      </c>
      <c r="B349" s="11" t="s">
        <v>233</v>
      </c>
      <c r="C349" s="11" t="s">
        <v>295</v>
      </c>
      <c r="D349" s="11" t="s">
        <v>1243</v>
      </c>
      <c r="E349" s="11">
        <v>5.9425071019545882E-2</v>
      </c>
    </row>
    <row r="350" spans="1:5" ht="24.75">
      <c r="A350" s="11" t="s">
        <v>363</v>
      </c>
      <c r="B350" s="11" t="s">
        <v>233</v>
      </c>
      <c r="C350" s="11" t="s">
        <v>295</v>
      </c>
      <c r="D350" s="11" t="s">
        <v>1244</v>
      </c>
      <c r="E350" s="11">
        <v>4.4435100483315715</v>
      </c>
    </row>
    <row r="351" spans="1:5" ht="24.75">
      <c r="A351" s="11" t="s">
        <v>363</v>
      </c>
      <c r="B351" s="11" t="s">
        <v>233</v>
      </c>
      <c r="C351" s="11" t="s">
        <v>295</v>
      </c>
      <c r="D351" s="11" t="s">
        <v>1245</v>
      </c>
      <c r="E351" s="11">
        <v>0.52715157969439141</v>
      </c>
    </row>
    <row r="352" spans="1:5" ht="24.75">
      <c r="A352" s="11" t="s">
        <v>363</v>
      </c>
      <c r="B352" s="11" t="s">
        <v>233</v>
      </c>
      <c r="C352" s="11" t="s">
        <v>295</v>
      </c>
      <c r="D352" s="11" t="s">
        <v>1246</v>
      </c>
      <c r="E352" s="11">
        <v>4.3487142049009861</v>
      </c>
    </row>
    <row r="353" spans="1:5" ht="24.75">
      <c r="A353" s="11" t="s">
        <v>363</v>
      </c>
      <c r="B353" s="11" t="s">
        <v>233</v>
      </c>
      <c r="C353" s="11" t="s">
        <v>295</v>
      </c>
      <c r="D353" s="11" t="s">
        <v>1247</v>
      </c>
      <c r="E353" s="11">
        <v>0.5062122899155207</v>
      </c>
    </row>
    <row r="354" spans="1:5" ht="24.75">
      <c r="A354" s="11" t="s">
        <v>363</v>
      </c>
      <c r="B354" s="11" t="s">
        <v>233</v>
      </c>
      <c r="C354" s="11" t="s">
        <v>295</v>
      </c>
      <c r="D354" s="11" t="s">
        <v>1248</v>
      </c>
      <c r="E354" s="11">
        <v>4.3508954520171699</v>
      </c>
    </row>
    <row r="355" spans="1:5" ht="24.75">
      <c r="A355" s="11" t="s">
        <v>363</v>
      </c>
      <c r="B355" s="11" t="s">
        <v>233</v>
      </c>
      <c r="C355" s="11" t="s">
        <v>295</v>
      </c>
      <c r="D355" s="11" t="s">
        <v>1249</v>
      </c>
      <c r="E355" s="11">
        <v>1.0484932141162657</v>
      </c>
    </row>
    <row r="356" spans="1:5" ht="24.75">
      <c r="A356" s="11" t="s">
        <v>363</v>
      </c>
      <c r="B356" s="11" t="s">
        <v>233</v>
      </c>
      <c r="C356" s="11" t="s">
        <v>295</v>
      </c>
      <c r="D356" s="11" t="s">
        <v>1250</v>
      </c>
      <c r="E356" s="11">
        <v>0.84290990990355508</v>
      </c>
    </row>
    <row r="357" spans="1:5" ht="24.75">
      <c r="A357" s="11" t="s">
        <v>363</v>
      </c>
      <c r="B357" s="11" t="s">
        <v>233</v>
      </c>
      <c r="C357" s="11" t="s">
        <v>295</v>
      </c>
      <c r="D357" s="11" t="s">
        <v>1251</v>
      </c>
      <c r="E357" s="11">
        <v>0.90344884967324823</v>
      </c>
    </row>
    <row r="358" spans="1:5" ht="24.75">
      <c r="A358" s="11" t="s">
        <v>363</v>
      </c>
      <c r="B358" s="11" t="s">
        <v>233</v>
      </c>
      <c r="C358" s="11" t="s">
        <v>295</v>
      </c>
      <c r="D358" s="11" t="s">
        <v>1252</v>
      </c>
      <c r="E358" s="11">
        <v>1.7962559286218962</v>
      </c>
    </row>
    <row r="359" spans="1:5" ht="24.75">
      <c r="A359" s="11" t="s">
        <v>363</v>
      </c>
      <c r="B359" s="11" t="s">
        <v>233</v>
      </c>
      <c r="C359" s="11" t="s">
        <v>295</v>
      </c>
      <c r="D359" s="11" t="s">
        <v>1253</v>
      </c>
      <c r="E359" s="11">
        <v>0.15163468128136998</v>
      </c>
    </row>
    <row r="360" spans="1:5" ht="24.75">
      <c r="A360" s="11" t="s">
        <v>363</v>
      </c>
      <c r="B360" s="11" t="s">
        <v>233</v>
      </c>
      <c r="C360" s="11" t="s">
        <v>295</v>
      </c>
      <c r="D360" s="11" t="s">
        <v>1254</v>
      </c>
      <c r="E360" s="11">
        <v>0.15470744511034715</v>
      </c>
    </row>
    <row r="361" spans="1:5" ht="24.75">
      <c r="A361" s="11" t="s">
        <v>363</v>
      </c>
      <c r="B361" s="11" t="s">
        <v>233</v>
      </c>
      <c r="C361" s="11" t="s">
        <v>295</v>
      </c>
      <c r="D361" s="11" t="s">
        <v>1255</v>
      </c>
      <c r="E361" s="11">
        <v>4.4409999986855881</v>
      </c>
    </row>
    <row r="362" spans="1:5" ht="24.75">
      <c r="A362" s="11" t="s">
        <v>363</v>
      </c>
      <c r="B362" s="11" t="s">
        <v>233</v>
      </c>
      <c r="C362" s="11" t="s">
        <v>295</v>
      </c>
      <c r="D362" s="11" t="s">
        <v>1256</v>
      </c>
      <c r="E362" s="11">
        <v>0.96388493839999856</v>
      </c>
    </row>
    <row r="363" spans="1:5" ht="24.75">
      <c r="A363" s="11" t="s">
        <v>363</v>
      </c>
      <c r="B363" s="11" t="s">
        <v>233</v>
      </c>
      <c r="C363" s="11" t="s">
        <v>295</v>
      </c>
      <c r="D363" s="11" t="s">
        <v>1257</v>
      </c>
      <c r="E363" s="11">
        <v>0.19144903421238518</v>
      </c>
    </row>
    <row r="364" spans="1:5" ht="24.75">
      <c r="A364" s="11" t="s">
        <v>363</v>
      </c>
      <c r="B364" s="11" t="s">
        <v>233</v>
      </c>
      <c r="C364" s="11" t="s">
        <v>295</v>
      </c>
      <c r="D364" s="11" t="s">
        <v>1258</v>
      </c>
      <c r="E364" s="11">
        <v>5.8535332287131752</v>
      </c>
    </row>
    <row r="365" spans="1:5" ht="24.75">
      <c r="A365" s="11" t="s">
        <v>363</v>
      </c>
      <c r="B365" s="11" t="s">
        <v>233</v>
      </c>
      <c r="C365" s="11" t="s">
        <v>295</v>
      </c>
      <c r="D365" s="11" t="s">
        <v>1259</v>
      </c>
      <c r="E365" s="11">
        <v>1.0620100000000003</v>
      </c>
    </row>
    <row r="366" spans="1:5" ht="24.75">
      <c r="A366" s="11" t="s">
        <v>363</v>
      </c>
      <c r="B366" s="11" t="s">
        <v>233</v>
      </c>
      <c r="C366" s="11" t="s">
        <v>295</v>
      </c>
      <c r="D366" s="11" t="s">
        <v>1260</v>
      </c>
      <c r="E366" s="11">
        <v>0.27328805854730259</v>
      </c>
    </row>
    <row r="367" spans="1:5" ht="24.75">
      <c r="A367" s="11" t="s">
        <v>363</v>
      </c>
      <c r="B367" s="11" t="s">
        <v>233</v>
      </c>
      <c r="C367" s="11" t="s">
        <v>295</v>
      </c>
      <c r="D367" s="11" t="s">
        <v>1261</v>
      </c>
      <c r="E367" s="11">
        <v>0.2344075841236225</v>
      </c>
    </row>
    <row r="368" spans="1:5" ht="24.75">
      <c r="A368" s="11" t="s">
        <v>363</v>
      </c>
      <c r="B368" s="11" t="s">
        <v>233</v>
      </c>
      <c r="C368" s="11" t="s">
        <v>295</v>
      </c>
      <c r="D368" s="11" t="s">
        <v>1262</v>
      </c>
      <c r="E368" s="11">
        <v>1.0520099999999997</v>
      </c>
    </row>
    <row r="369" spans="1:5" ht="24.75">
      <c r="A369" s="11" t="s">
        <v>363</v>
      </c>
      <c r="B369" s="11" t="s">
        <v>233</v>
      </c>
      <c r="C369" s="11" t="s">
        <v>295</v>
      </c>
      <c r="D369" s="11" t="s">
        <v>1263</v>
      </c>
      <c r="E369" s="11">
        <v>1.0494995389549806</v>
      </c>
    </row>
    <row r="370" spans="1:5" ht="24.75">
      <c r="A370" s="11" t="s">
        <v>363</v>
      </c>
      <c r="B370" s="11" t="s">
        <v>233</v>
      </c>
      <c r="C370" s="11" t="s">
        <v>295</v>
      </c>
      <c r="D370" s="11" t="s">
        <v>1264</v>
      </c>
      <c r="E370" s="11">
        <v>2.7936562620876138</v>
      </c>
    </row>
    <row r="371" spans="1:5" ht="24.75">
      <c r="A371" s="11" t="s">
        <v>363</v>
      </c>
      <c r="B371" s="11" t="s">
        <v>233</v>
      </c>
      <c r="C371" s="11" t="s">
        <v>295</v>
      </c>
      <c r="D371" s="11" t="s">
        <v>1265</v>
      </c>
      <c r="E371" s="11">
        <v>0.23409245019132238</v>
      </c>
    </row>
    <row r="372" spans="1:5" ht="24.75">
      <c r="A372" s="11" t="s">
        <v>363</v>
      </c>
      <c r="B372" s="11" t="s">
        <v>233</v>
      </c>
      <c r="C372" s="11" t="s">
        <v>295</v>
      </c>
      <c r="D372" s="11" t="s">
        <v>1266</v>
      </c>
      <c r="E372" s="11">
        <v>1.052010000000001</v>
      </c>
    </row>
    <row r="373" spans="1:5" ht="24.75">
      <c r="A373" s="11" t="s">
        <v>363</v>
      </c>
      <c r="B373" s="11" t="s">
        <v>233</v>
      </c>
      <c r="C373" s="11" t="s">
        <v>295</v>
      </c>
      <c r="D373" s="11" t="s">
        <v>1267</v>
      </c>
      <c r="E373" s="11">
        <v>1.1881099993019744</v>
      </c>
    </row>
    <row r="374" spans="1:5" ht="24.75">
      <c r="A374" s="11" t="s">
        <v>363</v>
      </c>
      <c r="B374" s="11" t="s">
        <v>233</v>
      </c>
      <c r="C374" s="11" t="s">
        <v>295</v>
      </c>
      <c r="D374" s="11" t="s">
        <v>1268</v>
      </c>
      <c r="E374" s="11">
        <v>2.8202465696353696</v>
      </c>
    </row>
    <row r="375" spans="1:5" ht="24.75">
      <c r="A375" s="11" t="s">
        <v>363</v>
      </c>
      <c r="B375" s="11" t="s">
        <v>233</v>
      </c>
      <c r="C375" s="11" t="s">
        <v>295</v>
      </c>
      <c r="D375" s="11" t="s">
        <v>1269</v>
      </c>
      <c r="E375" s="11">
        <v>0.58102000000000298</v>
      </c>
    </row>
    <row r="376" spans="1:5" ht="24.75">
      <c r="A376" s="11" t="s">
        <v>363</v>
      </c>
      <c r="B376" s="11" t="s">
        <v>233</v>
      </c>
      <c r="C376" s="11" t="s">
        <v>295</v>
      </c>
      <c r="D376" s="11" t="s">
        <v>1270</v>
      </c>
      <c r="E376" s="11">
        <v>1.0194999949556718</v>
      </c>
    </row>
    <row r="377" spans="1:5" ht="24.75">
      <c r="A377" s="11" t="s">
        <v>363</v>
      </c>
      <c r="B377" s="11" t="s">
        <v>233</v>
      </c>
      <c r="C377" s="11" t="s">
        <v>295</v>
      </c>
      <c r="D377" s="11" t="s">
        <v>1271</v>
      </c>
      <c r="E377" s="11">
        <v>0.54502988119189288</v>
      </c>
    </row>
    <row r="378" spans="1:5" ht="24.75">
      <c r="A378" s="11" t="s">
        <v>363</v>
      </c>
      <c r="B378" s="11" t="s">
        <v>233</v>
      </c>
      <c r="C378" s="11" t="s">
        <v>295</v>
      </c>
      <c r="D378" s="11" t="s">
        <v>1272</v>
      </c>
      <c r="E378" s="11">
        <v>7.5540122127157203E-2</v>
      </c>
    </row>
    <row r="379" spans="1:5" ht="24.75">
      <c r="A379" s="11" t="s">
        <v>363</v>
      </c>
      <c r="B379" s="11" t="s">
        <v>233</v>
      </c>
      <c r="C379" s="11" t="s">
        <v>295</v>
      </c>
      <c r="D379" s="11" t="s">
        <v>1273</v>
      </c>
      <c r="E379" s="11">
        <v>7.3698853071350545E-2</v>
      </c>
    </row>
    <row r="380" spans="1:5" ht="24.75">
      <c r="A380" s="11" t="s">
        <v>363</v>
      </c>
      <c r="B380" s="11" t="s">
        <v>233</v>
      </c>
      <c r="C380" s="11" t="s">
        <v>295</v>
      </c>
      <c r="D380" s="11" t="s">
        <v>1274</v>
      </c>
      <c r="E380" s="11">
        <v>1.2561459976943998</v>
      </c>
    </row>
    <row r="381" spans="1:5" ht="24.75">
      <c r="A381" s="11" t="s">
        <v>363</v>
      </c>
      <c r="B381" s="11" t="s">
        <v>233</v>
      </c>
      <c r="C381" s="11" t="s">
        <v>295</v>
      </c>
      <c r="D381" s="11" t="s">
        <v>1275</v>
      </c>
      <c r="E381" s="11">
        <v>2.7551301560654911</v>
      </c>
    </row>
    <row r="382" spans="1:5" ht="24.75">
      <c r="A382" s="11" t="s">
        <v>363</v>
      </c>
      <c r="B382" s="11" t="s">
        <v>233</v>
      </c>
      <c r="C382" s="11" t="s">
        <v>295</v>
      </c>
      <c r="D382" s="11" t="s">
        <v>1276</v>
      </c>
      <c r="E382" s="11">
        <v>0.78785332318917001</v>
      </c>
    </row>
    <row r="383" spans="1:5" ht="24.75">
      <c r="A383" s="11" t="s">
        <v>363</v>
      </c>
      <c r="B383" s="11" t="s">
        <v>233</v>
      </c>
      <c r="C383" s="11" t="s">
        <v>295</v>
      </c>
      <c r="D383" s="11" t="s">
        <v>1277</v>
      </c>
      <c r="E383" s="11">
        <v>0.60864617410760502</v>
      </c>
    </row>
    <row r="384" spans="1:5" ht="24.75">
      <c r="A384" s="11" t="s">
        <v>363</v>
      </c>
      <c r="B384" s="11" t="s">
        <v>233</v>
      </c>
      <c r="C384" s="11" t="s">
        <v>295</v>
      </c>
      <c r="D384" s="11" t="s">
        <v>1278</v>
      </c>
      <c r="E384" s="11">
        <v>1.4774014255521759</v>
      </c>
    </row>
    <row r="385" spans="1:5" ht="24.75">
      <c r="A385" s="11" t="s">
        <v>363</v>
      </c>
      <c r="B385" s="11" t="s">
        <v>233</v>
      </c>
      <c r="C385" s="11" t="s">
        <v>295</v>
      </c>
      <c r="D385" s="11" t="s">
        <v>1279</v>
      </c>
      <c r="E385" s="11">
        <v>2.0767132978762119</v>
      </c>
    </row>
    <row r="386" spans="1:5" ht="24.75">
      <c r="A386" s="11" t="s">
        <v>363</v>
      </c>
      <c r="B386" s="11" t="s">
        <v>233</v>
      </c>
      <c r="C386" s="11" t="s">
        <v>295</v>
      </c>
      <c r="D386" s="11" t="s">
        <v>1280</v>
      </c>
      <c r="E386" s="11">
        <v>0.85310425219655317</v>
      </c>
    </row>
    <row r="387" spans="1:5" ht="24.75">
      <c r="A387" s="11" t="s">
        <v>363</v>
      </c>
      <c r="B387" s="11" t="s">
        <v>233</v>
      </c>
      <c r="C387" s="11" t="s">
        <v>295</v>
      </c>
      <c r="D387" s="11" t="s">
        <v>1281</v>
      </c>
      <c r="E387" s="11">
        <v>0.2276235307718214</v>
      </c>
    </row>
    <row r="388" spans="1:5" ht="24.75">
      <c r="A388" s="11" t="s">
        <v>363</v>
      </c>
      <c r="B388" s="11" t="s">
        <v>233</v>
      </c>
      <c r="C388" s="11" t="s">
        <v>295</v>
      </c>
      <c r="D388" s="11" t="s">
        <v>1282</v>
      </c>
      <c r="E388" s="11">
        <v>0.88071195248152045</v>
      </c>
    </row>
    <row r="389" spans="1:5" ht="24.75">
      <c r="A389" s="11" t="s">
        <v>363</v>
      </c>
      <c r="B389" s="11" t="s">
        <v>233</v>
      </c>
      <c r="C389" s="11" t="s">
        <v>295</v>
      </c>
      <c r="D389" s="11" t="s">
        <v>1283</v>
      </c>
      <c r="E389" s="11">
        <v>6.0987008032356664</v>
      </c>
    </row>
    <row r="390" spans="1:5" ht="24.75">
      <c r="A390" s="11" t="s">
        <v>363</v>
      </c>
      <c r="B390" s="11" t="s">
        <v>233</v>
      </c>
      <c r="C390" s="11" t="s">
        <v>295</v>
      </c>
      <c r="D390" s="11" t="s">
        <v>1284</v>
      </c>
      <c r="E390" s="11">
        <v>5.8151207525569859</v>
      </c>
    </row>
    <row r="391" spans="1:5" ht="24.75">
      <c r="A391" s="11" t="s">
        <v>363</v>
      </c>
      <c r="B391" s="11" t="s">
        <v>233</v>
      </c>
      <c r="C391" s="11" t="s">
        <v>295</v>
      </c>
      <c r="D391" s="11" t="s">
        <v>1285</v>
      </c>
      <c r="E391" s="11">
        <v>6.1533136139640758</v>
      </c>
    </row>
    <row r="392" spans="1:5" ht="24.75">
      <c r="A392" s="11" t="s">
        <v>363</v>
      </c>
      <c r="B392" s="11" t="s">
        <v>233</v>
      </c>
      <c r="C392" s="11" t="s">
        <v>295</v>
      </c>
      <c r="D392" s="11" t="s">
        <v>1286</v>
      </c>
      <c r="E392" s="11">
        <v>5.1152503484587877</v>
      </c>
    </row>
    <row r="393" spans="1:5" ht="24.75">
      <c r="A393" s="11" t="s">
        <v>363</v>
      </c>
      <c r="B393" s="11" t="s">
        <v>233</v>
      </c>
      <c r="C393" s="11" t="s">
        <v>295</v>
      </c>
      <c r="D393" s="11" t="s">
        <v>1287</v>
      </c>
      <c r="E393" s="11">
        <v>5.2821861156442607</v>
      </c>
    </row>
    <row r="394" spans="1:5" ht="24.75">
      <c r="A394" s="11" t="s">
        <v>363</v>
      </c>
      <c r="B394" s="11" t="s">
        <v>233</v>
      </c>
      <c r="C394" s="11" t="s">
        <v>295</v>
      </c>
      <c r="D394" s="11" t="s">
        <v>1288</v>
      </c>
      <c r="E394" s="11">
        <v>6.2609993281748683E-2</v>
      </c>
    </row>
    <row r="395" spans="1:5" ht="24.75">
      <c r="A395" s="11" t="s">
        <v>363</v>
      </c>
      <c r="B395" s="11" t="s">
        <v>233</v>
      </c>
      <c r="C395" s="11" t="s">
        <v>295</v>
      </c>
      <c r="D395" s="11" t="s">
        <v>1289</v>
      </c>
      <c r="E395" s="11">
        <v>6.2610021411630509E-2</v>
      </c>
    </row>
    <row r="396" spans="1:5" ht="24.75">
      <c r="A396" s="11" t="s">
        <v>363</v>
      </c>
      <c r="B396" s="11" t="s">
        <v>233</v>
      </c>
      <c r="C396" s="11" t="s">
        <v>295</v>
      </c>
      <c r="D396" s="11" t="s">
        <v>1290</v>
      </c>
      <c r="E396" s="11">
        <v>6.2609994622555926E-2</v>
      </c>
    </row>
    <row r="397" spans="1:5" ht="24.75">
      <c r="A397" s="11" t="s">
        <v>363</v>
      </c>
      <c r="B397" s="11" t="s">
        <v>233</v>
      </c>
      <c r="C397" s="11" t="s">
        <v>295</v>
      </c>
      <c r="D397" s="11" t="s">
        <v>1291</v>
      </c>
      <c r="E397" s="11">
        <v>5.1735131762016522</v>
      </c>
    </row>
    <row r="398" spans="1:5" ht="24.75">
      <c r="A398" s="11" t="s">
        <v>363</v>
      </c>
      <c r="B398" s="11" t="s">
        <v>233</v>
      </c>
      <c r="C398" s="11" t="s">
        <v>295</v>
      </c>
      <c r="D398" s="11" t="s">
        <v>1292</v>
      </c>
      <c r="E398" s="11">
        <v>7.0398559297867633</v>
      </c>
    </row>
    <row r="399" spans="1:5" ht="24.75">
      <c r="A399" s="11" t="s">
        <v>363</v>
      </c>
      <c r="B399" s="11" t="s">
        <v>233</v>
      </c>
      <c r="C399" s="11" t="s">
        <v>295</v>
      </c>
      <c r="D399" s="11" t="s">
        <v>1293</v>
      </c>
      <c r="E399" s="11">
        <v>10.08886386640612</v>
      </c>
    </row>
    <row r="400" spans="1:5" ht="24.75">
      <c r="A400" s="11" t="s">
        <v>363</v>
      </c>
      <c r="B400" s="11" t="s">
        <v>233</v>
      </c>
      <c r="C400" s="11" t="s">
        <v>295</v>
      </c>
      <c r="D400" s="11" t="s">
        <v>1294</v>
      </c>
      <c r="E400" s="11">
        <v>6.0882955827775996E-2</v>
      </c>
    </row>
    <row r="401" spans="1:5" ht="24.75">
      <c r="A401" s="11" t="s">
        <v>363</v>
      </c>
      <c r="B401" s="11" t="s">
        <v>233</v>
      </c>
      <c r="C401" s="11" t="s">
        <v>295</v>
      </c>
      <c r="D401" s="11" t="s">
        <v>1295</v>
      </c>
      <c r="E401" s="11">
        <v>5.8908227516363681E-2</v>
      </c>
    </row>
    <row r="402" spans="1:5" ht="24.75">
      <c r="A402" s="11" t="s">
        <v>363</v>
      </c>
      <c r="B402" s="11" t="s">
        <v>233</v>
      </c>
      <c r="C402" s="11" t="s">
        <v>295</v>
      </c>
      <c r="D402" s="11" t="s">
        <v>1296</v>
      </c>
      <c r="E402" s="11">
        <v>7.2955331126953529E-2</v>
      </c>
    </row>
    <row r="403" spans="1:5" ht="24.75">
      <c r="A403" s="11" t="s">
        <v>363</v>
      </c>
      <c r="B403" s="11" t="s">
        <v>233</v>
      </c>
      <c r="C403" s="11" t="s">
        <v>295</v>
      </c>
      <c r="D403" s="11" t="s">
        <v>1297</v>
      </c>
      <c r="E403" s="11">
        <v>15.931520349625718</v>
      </c>
    </row>
    <row r="404" spans="1:5" ht="24.75">
      <c r="A404" s="11" t="s">
        <v>363</v>
      </c>
      <c r="B404" s="11" t="s">
        <v>233</v>
      </c>
      <c r="C404" s="11" t="s">
        <v>295</v>
      </c>
      <c r="D404" s="11" t="s">
        <v>1298</v>
      </c>
      <c r="E404" s="11">
        <v>0.24603242577991885</v>
      </c>
    </row>
    <row r="405" spans="1:5" ht="24.75">
      <c r="A405" s="11" t="s">
        <v>363</v>
      </c>
      <c r="B405" s="11" t="s">
        <v>233</v>
      </c>
      <c r="C405" s="11" t="s">
        <v>295</v>
      </c>
      <c r="D405" s="11" t="s">
        <v>1299</v>
      </c>
      <c r="E405" s="11">
        <v>16.156544526864998</v>
      </c>
    </row>
    <row r="406" spans="1:5" ht="24.75">
      <c r="A406" s="11" t="s">
        <v>363</v>
      </c>
      <c r="B406" s="11" t="s">
        <v>233</v>
      </c>
      <c r="C406" s="11" t="s">
        <v>295</v>
      </c>
      <c r="D406" s="11" t="s">
        <v>1300</v>
      </c>
      <c r="E406" s="11">
        <v>0.24600547632345421</v>
      </c>
    </row>
    <row r="407" spans="1:5" ht="24.75">
      <c r="A407" s="11" t="s">
        <v>363</v>
      </c>
      <c r="B407" s="11" t="s">
        <v>233</v>
      </c>
      <c r="C407" s="11" t="s">
        <v>295</v>
      </c>
      <c r="D407" s="11" t="s">
        <v>1301</v>
      </c>
      <c r="E407" s="11">
        <v>9.8682021563822477</v>
      </c>
    </row>
    <row r="408" spans="1:5" ht="24.75">
      <c r="A408" s="11" t="s">
        <v>363</v>
      </c>
      <c r="B408" s="11" t="s">
        <v>233</v>
      </c>
      <c r="C408" s="11" t="s">
        <v>295</v>
      </c>
      <c r="D408" s="11" t="s">
        <v>1302</v>
      </c>
      <c r="E408" s="11">
        <v>0.10103749694016713</v>
      </c>
    </row>
    <row r="409" spans="1:5" ht="24.75">
      <c r="A409" s="11" t="s">
        <v>363</v>
      </c>
      <c r="B409" s="11" t="s">
        <v>233</v>
      </c>
      <c r="C409" s="11" t="s">
        <v>295</v>
      </c>
      <c r="D409" s="11" t="s">
        <v>1303</v>
      </c>
      <c r="E409" s="11">
        <v>0.10103749402418588</v>
      </c>
    </row>
    <row r="410" spans="1:5" ht="24.75">
      <c r="A410" s="11" t="s">
        <v>363</v>
      </c>
      <c r="B410" s="11" t="s">
        <v>233</v>
      </c>
      <c r="C410" s="11" t="s">
        <v>295</v>
      </c>
      <c r="D410" s="11" t="s">
        <v>1304</v>
      </c>
      <c r="E410" s="11">
        <v>0.10103749440696161</v>
      </c>
    </row>
    <row r="411" spans="1:5" ht="24.75">
      <c r="A411" s="11" t="s">
        <v>363</v>
      </c>
      <c r="B411" s="11" t="s">
        <v>233</v>
      </c>
      <c r="C411" s="11" t="s">
        <v>295</v>
      </c>
      <c r="D411" s="11" t="s">
        <v>1305</v>
      </c>
      <c r="E411" s="11">
        <v>0.10103748785909394</v>
      </c>
    </row>
    <row r="412" spans="1:5" ht="24.75">
      <c r="A412" s="11" t="s">
        <v>363</v>
      </c>
      <c r="B412" s="11" t="s">
        <v>233</v>
      </c>
      <c r="C412" s="11" t="s">
        <v>295</v>
      </c>
      <c r="D412" s="11" t="s">
        <v>1306</v>
      </c>
      <c r="E412" s="11">
        <v>6.3154997609695585</v>
      </c>
    </row>
    <row r="413" spans="1:5" ht="24.75">
      <c r="A413" s="11" t="s">
        <v>363</v>
      </c>
      <c r="B413" s="11" t="s">
        <v>233</v>
      </c>
      <c r="C413" s="11" t="s">
        <v>295</v>
      </c>
      <c r="D413" s="11" t="s">
        <v>1307</v>
      </c>
      <c r="E413" s="11">
        <v>1.2054019390491872E-2</v>
      </c>
    </row>
    <row r="414" spans="1:5" ht="24.75">
      <c r="A414" s="11" t="s">
        <v>363</v>
      </c>
      <c r="B414" s="11" t="s">
        <v>233</v>
      </c>
      <c r="C414" s="11" t="s">
        <v>295</v>
      </c>
      <c r="D414" s="11" t="s">
        <v>1308</v>
      </c>
      <c r="E414" s="11">
        <v>1.2559301616846357</v>
      </c>
    </row>
    <row r="415" spans="1:5" ht="24.75">
      <c r="A415" s="11" t="s">
        <v>363</v>
      </c>
      <c r="B415" s="11" t="s">
        <v>233</v>
      </c>
      <c r="C415" s="11" t="s">
        <v>295</v>
      </c>
      <c r="D415" s="11" t="s">
        <v>1309</v>
      </c>
      <c r="E415" s="11">
        <v>0.76001467514394327</v>
      </c>
    </row>
    <row r="416" spans="1:5" ht="24.75">
      <c r="A416" s="11" t="s">
        <v>363</v>
      </c>
      <c r="B416" s="11" t="s">
        <v>233</v>
      </c>
      <c r="C416" s="11" t="s">
        <v>295</v>
      </c>
      <c r="D416" s="11" t="s">
        <v>1310</v>
      </c>
      <c r="E416" s="11">
        <v>4.0072922903288539</v>
      </c>
    </row>
    <row r="417" spans="1:5" ht="24.75">
      <c r="A417" s="11" t="s">
        <v>363</v>
      </c>
      <c r="B417" s="11" t="s">
        <v>233</v>
      </c>
      <c r="C417" s="11" t="s">
        <v>295</v>
      </c>
      <c r="D417" s="11" t="s">
        <v>1311</v>
      </c>
      <c r="E417" s="11">
        <v>6.4830229756670785E-2</v>
      </c>
    </row>
    <row r="418" spans="1:5" ht="24.75">
      <c r="A418" s="11" t="s">
        <v>363</v>
      </c>
      <c r="B418" s="11" t="s">
        <v>233</v>
      </c>
      <c r="C418" s="11" t="s">
        <v>295</v>
      </c>
      <c r="D418" s="11" t="s">
        <v>1312</v>
      </c>
      <c r="E418" s="11">
        <v>0.2284850057576821</v>
      </c>
    </row>
    <row r="419" spans="1:5" ht="24.75">
      <c r="A419" s="11" t="s">
        <v>363</v>
      </c>
      <c r="B419" s="11" t="s">
        <v>233</v>
      </c>
      <c r="C419" s="11" t="s">
        <v>295</v>
      </c>
      <c r="D419" s="11" t="s">
        <v>1313</v>
      </c>
      <c r="E419" s="11">
        <v>1.2729353247018278</v>
      </c>
    </row>
    <row r="420" spans="1:5" ht="24.75">
      <c r="A420" s="11" t="s">
        <v>363</v>
      </c>
      <c r="B420" s="11" t="s">
        <v>233</v>
      </c>
      <c r="C420" s="11" t="s">
        <v>295</v>
      </c>
      <c r="D420" s="11" t="s">
        <v>1314</v>
      </c>
      <c r="E420" s="11">
        <v>0.32509067742743819</v>
      </c>
    </row>
    <row r="421" spans="1:5" ht="24.75">
      <c r="A421" s="11" t="s">
        <v>363</v>
      </c>
      <c r="B421" s="11" t="s">
        <v>233</v>
      </c>
      <c r="C421" s="11" t="s">
        <v>295</v>
      </c>
      <c r="D421" s="11" t="s">
        <v>1315</v>
      </c>
      <c r="E421" s="11">
        <v>0.37960000000238664</v>
      </c>
    </row>
    <row r="422" spans="1:5" ht="24.75">
      <c r="A422" s="11" t="s">
        <v>363</v>
      </c>
      <c r="B422" s="11" t="s">
        <v>233</v>
      </c>
      <c r="C422" s="11" t="s">
        <v>295</v>
      </c>
      <c r="D422" s="11" t="s">
        <v>1316</v>
      </c>
      <c r="E422" s="11">
        <v>1.52360006515238</v>
      </c>
    </row>
    <row r="423" spans="1:5" ht="24.75">
      <c r="A423" s="11" t="s">
        <v>363</v>
      </c>
      <c r="B423" s="11" t="s">
        <v>233</v>
      </c>
      <c r="C423" s="11" t="s">
        <v>295</v>
      </c>
      <c r="D423" s="11" t="s">
        <v>1317</v>
      </c>
      <c r="E423" s="11">
        <v>0.8526250616001495</v>
      </c>
    </row>
    <row r="424" spans="1:5" ht="24.75">
      <c r="A424" s="11" t="s">
        <v>363</v>
      </c>
      <c r="B424" s="11" t="s">
        <v>233</v>
      </c>
      <c r="C424" s="11" t="s">
        <v>295</v>
      </c>
      <c r="D424" s="11" t="s">
        <v>1318</v>
      </c>
      <c r="E424" s="11">
        <v>1.0001356251380806</v>
      </c>
    </row>
    <row r="425" spans="1:5" ht="24.75">
      <c r="A425" s="11" t="s">
        <v>363</v>
      </c>
      <c r="B425" s="11" t="s">
        <v>233</v>
      </c>
      <c r="C425" s="11" t="s">
        <v>295</v>
      </c>
      <c r="D425" s="11" t="s">
        <v>1319</v>
      </c>
      <c r="E425" s="11">
        <v>5.9425174834705476</v>
      </c>
    </row>
    <row r="426" spans="1:5" ht="24.75">
      <c r="A426" s="11" t="s">
        <v>363</v>
      </c>
      <c r="B426" s="11" t="s">
        <v>233</v>
      </c>
      <c r="C426" s="11" t="s">
        <v>295</v>
      </c>
      <c r="D426" s="11" t="s">
        <v>1320</v>
      </c>
      <c r="E426" s="11">
        <v>1.0038851391474277</v>
      </c>
    </row>
    <row r="427" spans="1:5" ht="24.75">
      <c r="A427" s="11" t="s">
        <v>363</v>
      </c>
      <c r="B427" s="11" t="s">
        <v>233</v>
      </c>
      <c r="C427" s="11" t="s">
        <v>295</v>
      </c>
      <c r="D427" s="11" t="s">
        <v>1321</v>
      </c>
      <c r="E427" s="11">
        <v>1.5045176406385699</v>
      </c>
    </row>
    <row r="428" spans="1:5" ht="24.75">
      <c r="A428" s="11" t="s">
        <v>363</v>
      </c>
      <c r="B428" s="11" t="s">
        <v>233</v>
      </c>
      <c r="C428" s="11" t="s">
        <v>295</v>
      </c>
      <c r="D428" s="11" t="s">
        <v>1322</v>
      </c>
      <c r="E428" s="11">
        <v>0.82719994758557569</v>
      </c>
    </row>
    <row r="429" spans="1:5" ht="24.75">
      <c r="A429" s="11" t="s">
        <v>363</v>
      </c>
      <c r="B429" s="11" t="s">
        <v>233</v>
      </c>
      <c r="C429" s="11" t="s">
        <v>295</v>
      </c>
      <c r="D429" s="11" t="s">
        <v>1323</v>
      </c>
      <c r="E429" s="11">
        <v>2.8368722501477341</v>
      </c>
    </row>
    <row r="430" spans="1:5" ht="24.75">
      <c r="A430" s="11" t="s">
        <v>363</v>
      </c>
      <c r="B430" s="11" t="s">
        <v>233</v>
      </c>
      <c r="C430" s="11" t="s">
        <v>295</v>
      </c>
      <c r="D430" s="11" t="s">
        <v>1324</v>
      </c>
      <c r="E430" s="11">
        <v>0.3224685755959556</v>
      </c>
    </row>
    <row r="431" spans="1:5" ht="24.75">
      <c r="A431" s="11" t="s">
        <v>363</v>
      </c>
      <c r="B431" s="11" t="s">
        <v>233</v>
      </c>
      <c r="C431" s="11" t="s">
        <v>295</v>
      </c>
      <c r="D431" s="11" t="s">
        <v>1325</v>
      </c>
      <c r="E431" s="11">
        <v>1.8638848592390254</v>
      </c>
    </row>
    <row r="432" spans="1:5" ht="24.75">
      <c r="A432" s="11" t="s">
        <v>363</v>
      </c>
      <c r="B432" s="11" t="s">
        <v>233</v>
      </c>
      <c r="C432" s="11" t="s">
        <v>295</v>
      </c>
      <c r="D432" s="11" t="s">
        <v>1326</v>
      </c>
      <c r="E432" s="11">
        <v>1.4970100000000006</v>
      </c>
    </row>
    <row r="433" spans="1:5" ht="24.75">
      <c r="A433" s="11" t="s">
        <v>363</v>
      </c>
      <c r="B433" s="11" t="s">
        <v>233</v>
      </c>
      <c r="C433" s="11" t="s">
        <v>295</v>
      </c>
      <c r="D433" s="11" t="s">
        <v>1327</v>
      </c>
      <c r="E433" s="11">
        <v>0.79069236259772369</v>
      </c>
    </row>
    <row r="434" spans="1:5" ht="24.75">
      <c r="A434" s="11" t="s">
        <v>363</v>
      </c>
      <c r="B434" s="11" t="s">
        <v>233</v>
      </c>
      <c r="C434" s="11" t="s">
        <v>295</v>
      </c>
      <c r="D434" s="11" t="s">
        <v>1328</v>
      </c>
      <c r="E434" s="11">
        <v>0.94882500000000303</v>
      </c>
    </row>
    <row r="435" spans="1:5" ht="24.75">
      <c r="A435" s="11" t="s">
        <v>363</v>
      </c>
      <c r="B435" s="11" t="s">
        <v>233</v>
      </c>
      <c r="C435" s="11" t="s">
        <v>295</v>
      </c>
      <c r="D435" s="11" t="s">
        <v>1329</v>
      </c>
      <c r="E435" s="11">
        <v>3.4683747223636686E-2</v>
      </c>
    </row>
    <row r="436" spans="1:5" ht="24.75">
      <c r="A436" s="11" t="s">
        <v>363</v>
      </c>
      <c r="B436" s="11" t="s">
        <v>233</v>
      </c>
      <c r="C436" s="11" t="s">
        <v>295</v>
      </c>
      <c r="D436" s="11" t="s">
        <v>1330</v>
      </c>
      <c r="E436" s="11">
        <v>0.82829994779997729</v>
      </c>
    </row>
    <row r="437" spans="1:5" ht="24.75">
      <c r="A437" s="11" t="s">
        <v>363</v>
      </c>
      <c r="B437" s="11" t="s">
        <v>233</v>
      </c>
      <c r="C437" s="11" t="s">
        <v>295</v>
      </c>
      <c r="D437" s="11" t="s">
        <v>1331</v>
      </c>
      <c r="E437" s="11">
        <v>0.96070000000099054</v>
      </c>
    </row>
    <row r="438" spans="1:5" ht="24.75">
      <c r="A438" s="11" t="s">
        <v>363</v>
      </c>
      <c r="B438" s="11" t="s">
        <v>233</v>
      </c>
      <c r="C438" s="11" t="s">
        <v>295</v>
      </c>
      <c r="D438" s="11" t="s">
        <v>1332</v>
      </c>
      <c r="E438" s="11">
        <v>0.11650949476156493</v>
      </c>
    </row>
    <row r="439" spans="1:5" ht="24.75">
      <c r="A439" s="11" t="s">
        <v>363</v>
      </c>
      <c r="B439" s="11" t="s">
        <v>233</v>
      </c>
      <c r="C439" s="11" t="s">
        <v>295</v>
      </c>
      <c r="D439" s="11" t="s">
        <v>1333</v>
      </c>
      <c r="E439" s="11">
        <v>0.82950010243874339</v>
      </c>
    </row>
    <row r="440" spans="1:5" ht="24.75">
      <c r="A440" s="11" t="s">
        <v>363</v>
      </c>
      <c r="B440" s="11" t="s">
        <v>233</v>
      </c>
      <c r="C440" s="11" t="s">
        <v>295</v>
      </c>
      <c r="D440" s="11" t="s">
        <v>1334</v>
      </c>
      <c r="E440" s="11">
        <v>0.8009500004805562</v>
      </c>
    </row>
    <row r="441" spans="1:5" ht="24.75">
      <c r="A441" s="11" t="s">
        <v>363</v>
      </c>
      <c r="B441" s="11" t="s">
        <v>233</v>
      </c>
      <c r="C441" s="11" t="s">
        <v>295</v>
      </c>
      <c r="D441" s="11" t="s">
        <v>1335</v>
      </c>
      <c r="E441" s="11">
        <v>0.54053519932281169</v>
      </c>
    </row>
    <row r="442" spans="1:5" ht="24.75">
      <c r="A442" s="11" t="s">
        <v>363</v>
      </c>
      <c r="B442" s="11" t="s">
        <v>233</v>
      </c>
      <c r="C442" s="11" t="s">
        <v>295</v>
      </c>
      <c r="D442" s="11" t="s">
        <v>1336</v>
      </c>
      <c r="E442" s="11">
        <v>1.2129353247018262</v>
      </c>
    </row>
    <row r="443" spans="1:5" ht="24.75">
      <c r="A443" s="11" t="s">
        <v>363</v>
      </c>
      <c r="B443" s="11" t="s">
        <v>233</v>
      </c>
      <c r="C443" s="11" t="s">
        <v>295</v>
      </c>
      <c r="D443" s="11" t="s">
        <v>1337</v>
      </c>
      <c r="E443" s="11">
        <v>1.09701</v>
      </c>
    </row>
    <row r="444" spans="1:5" ht="24.75">
      <c r="A444" s="11" t="s">
        <v>363</v>
      </c>
      <c r="B444" s="11" t="s">
        <v>233</v>
      </c>
      <c r="C444" s="11" t="s">
        <v>295</v>
      </c>
      <c r="D444" s="11" t="s">
        <v>1338</v>
      </c>
      <c r="E444" s="11">
        <v>0.80204999999999971</v>
      </c>
    </row>
    <row r="445" spans="1:5" ht="24.75">
      <c r="A445" s="11" t="s">
        <v>363</v>
      </c>
      <c r="B445" s="11" t="s">
        <v>233</v>
      </c>
      <c r="C445" s="11" t="s">
        <v>295</v>
      </c>
      <c r="D445" s="11" t="s">
        <v>1339</v>
      </c>
      <c r="E445" s="11">
        <v>0.11651010455237702</v>
      </c>
    </row>
    <row r="446" spans="1:5" ht="24.75">
      <c r="A446" s="11" t="s">
        <v>363</v>
      </c>
      <c r="B446" s="11" t="s">
        <v>233</v>
      </c>
      <c r="C446" s="11" t="s">
        <v>295</v>
      </c>
      <c r="D446" s="11" t="s">
        <v>1340</v>
      </c>
      <c r="E446" s="11">
        <v>0.53090626239593497</v>
      </c>
    </row>
    <row r="447" spans="1:5" ht="24.75">
      <c r="A447" s="11" t="s">
        <v>363</v>
      </c>
      <c r="B447" s="11" t="s">
        <v>233</v>
      </c>
      <c r="C447" s="11" t="s">
        <v>295</v>
      </c>
      <c r="D447" s="11" t="s">
        <v>1341</v>
      </c>
      <c r="E447" s="11">
        <v>0.19961403962846</v>
      </c>
    </row>
    <row r="448" spans="1:5" ht="24.75">
      <c r="A448" s="11" t="s">
        <v>363</v>
      </c>
      <c r="B448" s="11" t="s">
        <v>233</v>
      </c>
      <c r="C448" s="11" t="s">
        <v>295</v>
      </c>
      <c r="D448" s="11" t="s">
        <v>1342</v>
      </c>
      <c r="E448" s="11">
        <v>1.2920634887687363</v>
      </c>
    </row>
    <row r="449" spans="1:5" ht="24.75">
      <c r="A449" s="11" t="s">
        <v>363</v>
      </c>
      <c r="B449" s="11" t="s">
        <v>233</v>
      </c>
      <c r="C449" s="11" t="s">
        <v>295</v>
      </c>
      <c r="D449" s="11" t="s">
        <v>1343</v>
      </c>
      <c r="E449" s="11">
        <v>1.0176350000000016</v>
      </c>
    </row>
    <row r="450" spans="1:5" ht="24.75">
      <c r="A450" s="11" t="s">
        <v>363</v>
      </c>
      <c r="B450" s="11" t="s">
        <v>233</v>
      </c>
      <c r="C450" s="11" t="s">
        <v>295</v>
      </c>
      <c r="D450" s="11" t="s">
        <v>1344</v>
      </c>
      <c r="E450" s="11">
        <v>1.4943115903985209</v>
      </c>
    </row>
    <row r="451" spans="1:5" ht="24.75">
      <c r="A451" s="11" t="s">
        <v>363</v>
      </c>
      <c r="B451" s="11" t="s">
        <v>233</v>
      </c>
      <c r="C451" s="11" t="s">
        <v>295</v>
      </c>
      <c r="D451" s="11" t="s">
        <v>1345</v>
      </c>
      <c r="E451" s="11">
        <v>1.1339187496864798</v>
      </c>
    </row>
    <row r="452" spans="1:5" ht="24.75">
      <c r="A452" s="11" t="s">
        <v>363</v>
      </c>
      <c r="B452" s="11" t="s">
        <v>233</v>
      </c>
      <c r="C452" s="11" t="s">
        <v>295</v>
      </c>
      <c r="D452" s="11" t="s">
        <v>1346</v>
      </c>
      <c r="E452" s="11">
        <v>0.99699333649062116</v>
      </c>
    </row>
    <row r="453" spans="1:5" ht="24.75">
      <c r="A453" s="11" t="s">
        <v>363</v>
      </c>
      <c r="B453" s="11" t="s">
        <v>233</v>
      </c>
      <c r="C453" s="11" t="s">
        <v>295</v>
      </c>
      <c r="D453" s="11" t="s">
        <v>1347</v>
      </c>
      <c r="E453" s="11">
        <v>0.78503076133131777</v>
      </c>
    </row>
    <row r="454" spans="1:5" ht="24.75">
      <c r="A454" s="11" t="s">
        <v>363</v>
      </c>
      <c r="B454" s="11" t="s">
        <v>233</v>
      </c>
      <c r="C454" s="11" t="s">
        <v>295</v>
      </c>
      <c r="D454" s="11" t="s">
        <v>1348</v>
      </c>
      <c r="E454" s="11">
        <v>0.67869999999999975</v>
      </c>
    </row>
    <row r="455" spans="1:5" ht="24.75">
      <c r="A455" s="11" t="s">
        <v>363</v>
      </c>
      <c r="B455" s="11" t="s">
        <v>233</v>
      </c>
      <c r="C455" s="11" t="s">
        <v>295</v>
      </c>
      <c r="D455" s="11" t="s">
        <v>1349</v>
      </c>
      <c r="E455" s="11">
        <v>0.10267080902486286</v>
      </c>
    </row>
    <row r="456" spans="1:5" ht="24.75">
      <c r="A456" s="11" t="s">
        <v>363</v>
      </c>
      <c r="B456" s="11" t="s">
        <v>233</v>
      </c>
      <c r="C456" s="11" t="s">
        <v>295</v>
      </c>
      <c r="D456" s="11" t="s">
        <v>1350</v>
      </c>
      <c r="E456" s="11">
        <v>1.555695018775809</v>
      </c>
    </row>
    <row r="457" spans="1:5" ht="24.75">
      <c r="A457" s="11" t="s">
        <v>363</v>
      </c>
      <c r="B457" s="11" t="s">
        <v>233</v>
      </c>
      <c r="C457" s="11" t="s">
        <v>295</v>
      </c>
      <c r="D457" s="11" t="s">
        <v>1351</v>
      </c>
      <c r="E457" s="11">
        <v>10.804600226046876</v>
      </c>
    </row>
    <row r="458" spans="1:5" ht="24.75">
      <c r="A458" s="11" t="s">
        <v>363</v>
      </c>
      <c r="B458" s="11" t="s">
        <v>233</v>
      </c>
      <c r="C458" s="11" t="s">
        <v>295</v>
      </c>
      <c r="D458" s="11" t="s">
        <v>1352</v>
      </c>
      <c r="E458" s="11">
        <v>0.4603847348799891</v>
      </c>
    </row>
    <row r="459" spans="1:5" ht="24.75">
      <c r="A459" s="11" t="s">
        <v>363</v>
      </c>
      <c r="B459" s="11" t="s">
        <v>233</v>
      </c>
      <c r="C459" s="11" t="s">
        <v>295</v>
      </c>
      <c r="D459" s="11" t="s">
        <v>1353</v>
      </c>
      <c r="E459" s="11">
        <v>0.44791336861145203</v>
      </c>
    </row>
    <row r="460" spans="1:5" ht="24.75">
      <c r="A460" s="11" t="s">
        <v>363</v>
      </c>
      <c r="B460" s="11" t="s">
        <v>233</v>
      </c>
      <c r="C460" s="11" t="s">
        <v>295</v>
      </c>
      <c r="D460" s="11" t="s">
        <v>1354</v>
      </c>
      <c r="E460" s="11">
        <v>1.0926100000000005</v>
      </c>
    </row>
    <row r="461" spans="1:5" ht="24.75">
      <c r="A461" s="11" t="s">
        <v>363</v>
      </c>
      <c r="B461" s="11" t="s">
        <v>233</v>
      </c>
      <c r="C461" s="11" t="s">
        <v>295</v>
      </c>
      <c r="D461" s="11" t="s">
        <v>1355</v>
      </c>
      <c r="E461" s="11">
        <v>0.73580000000002665</v>
      </c>
    </row>
    <row r="462" spans="1:5" ht="24.75">
      <c r="A462" s="11" t="s">
        <v>363</v>
      </c>
      <c r="B462" s="11" t="s">
        <v>233</v>
      </c>
      <c r="C462" s="11" t="s">
        <v>295</v>
      </c>
      <c r="D462" s="11" t="s">
        <v>1356</v>
      </c>
      <c r="E462" s="11">
        <v>0.7347000000000169</v>
      </c>
    </row>
    <row r="463" spans="1:5" ht="24.75">
      <c r="A463" s="11" t="s">
        <v>363</v>
      </c>
      <c r="B463" s="11" t="s">
        <v>233</v>
      </c>
      <c r="C463" s="11" t="s">
        <v>295</v>
      </c>
      <c r="D463" s="11" t="s">
        <v>1357</v>
      </c>
      <c r="E463" s="11">
        <v>0.73470000000001501</v>
      </c>
    </row>
    <row r="464" spans="1:5" ht="24.75">
      <c r="A464" s="11" t="s">
        <v>363</v>
      </c>
      <c r="B464" s="11" t="s">
        <v>233</v>
      </c>
      <c r="C464" s="11" t="s">
        <v>295</v>
      </c>
      <c r="D464" s="11" t="s">
        <v>1358</v>
      </c>
      <c r="E464" s="11">
        <v>0.20800150718112745</v>
      </c>
    </row>
    <row r="465" spans="1:5" ht="24.75">
      <c r="A465" s="11" t="s">
        <v>363</v>
      </c>
      <c r="B465" s="11" t="s">
        <v>233</v>
      </c>
      <c r="C465" s="11" t="s">
        <v>295</v>
      </c>
      <c r="D465" s="11" t="s">
        <v>1359</v>
      </c>
      <c r="E465" s="11">
        <v>1.8295709465300876</v>
      </c>
    </row>
    <row r="466" spans="1:5" ht="24.75">
      <c r="A466" s="11" t="s">
        <v>363</v>
      </c>
      <c r="B466" s="11" t="s">
        <v>233</v>
      </c>
      <c r="C466" s="11" t="s">
        <v>295</v>
      </c>
      <c r="D466" s="11" t="s">
        <v>1360</v>
      </c>
      <c r="E466" s="11">
        <v>1.5295000000000005</v>
      </c>
    </row>
    <row r="467" spans="1:5" ht="24.75">
      <c r="A467" s="11" t="s">
        <v>363</v>
      </c>
      <c r="B467" s="11" t="s">
        <v>233</v>
      </c>
      <c r="C467" s="11" t="s">
        <v>295</v>
      </c>
      <c r="D467" s="11" t="s">
        <v>1361</v>
      </c>
      <c r="E467" s="11">
        <v>0.39852168180916997</v>
      </c>
    </row>
    <row r="468" spans="1:5" ht="24.75">
      <c r="A468" s="11" t="s">
        <v>363</v>
      </c>
      <c r="B468" s="11" t="s">
        <v>233</v>
      </c>
      <c r="C468" s="11" t="s">
        <v>295</v>
      </c>
      <c r="D468" s="11" t="s">
        <v>1362</v>
      </c>
      <c r="E468" s="11">
        <v>0.49297831819082316</v>
      </c>
    </row>
    <row r="469" spans="1:5" ht="24.75">
      <c r="A469" s="11" t="s">
        <v>363</v>
      </c>
      <c r="B469" s="11" t="s">
        <v>233</v>
      </c>
      <c r="C469" s="11" t="s">
        <v>295</v>
      </c>
      <c r="D469" s="11" t="s">
        <v>1363</v>
      </c>
      <c r="E469" s="11">
        <v>0.92719999999999958</v>
      </c>
    </row>
    <row r="470" spans="1:5" ht="24.75">
      <c r="A470" s="11" t="s">
        <v>363</v>
      </c>
      <c r="B470" s="11" t="s">
        <v>233</v>
      </c>
      <c r="C470" s="11" t="s">
        <v>295</v>
      </c>
      <c r="D470" s="11" t="s">
        <v>1364</v>
      </c>
      <c r="E470" s="11">
        <v>0.92719999999999947</v>
      </c>
    </row>
    <row r="471" spans="1:5" ht="24.75">
      <c r="A471" s="11" t="s">
        <v>363</v>
      </c>
      <c r="B471" s="11" t="s">
        <v>233</v>
      </c>
      <c r="C471" s="11" t="s">
        <v>295</v>
      </c>
      <c r="D471" s="11" t="s">
        <v>1365</v>
      </c>
      <c r="E471" s="11">
        <v>0.92329999999999801</v>
      </c>
    </row>
    <row r="472" spans="1:5" ht="24.75">
      <c r="A472" s="11" t="s">
        <v>363</v>
      </c>
      <c r="B472" s="11" t="s">
        <v>233</v>
      </c>
      <c r="C472" s="11" t="s">
        <v>295</v>
      </c>
      <c r="D472" s="11" t="s">
        <v>1366</v>
      </c>
      <c r="E472" s="11">
        <v>1.8445100006735136</v>
      </c>
    </row>
    <row r="473" spans="1:5" ht="24.75">
      <c r="A473" s="11" t="s">
        <v>363</v>
      </c>
      <c r="B473" s="11" t="s">
        <v>233</v>
      </c>
      <c r="C473" s="11" t="s">
        <v>295</v>
      </c>
      <c r="D473" s="11" t="s">
        <v>1367</v>
      </c>
      <c r="E473" s="11">
        <v>1.5317744602568626</v>
      </c>
    </row>
    <row r="474" spans="1:5" ht="24.75">
      <c r="A474" s="11" t="s">
        <v>363</v>
      </c>
      <c r="B474" s="11" t="s">
        <v>233</v>
      </c>
      <c r="C474" s="11" t="s">
        <v>295</v>
      </c>
      <c r="D474" s="11" t="s">
        <v>1368</v>
      </c>
      <c r="E474" s="11">
        <v>1.5257999384000001</v>
      </c>
    </row>
    <row r="475" spans="1:5" ht="24.75">
      <c r="A475" s="11" t="s">
        <v>363</v>
      </c>
      <c r="B475" s="11" t="s">
        <v>233</v>
      </c>
      <c r="C475" s="11" t="s">
        <v>295</v>
      </c>
      <c r="D475" s="11" t="s">
        <v>1369</v>
      </c>
      <c r="E475" s="11">
        <v>0.43118979003782826</v>
      </c>
    </row>
    <row r="476" spans="1:5" ht="24.75">
      <c r="A476" s="11" t="s">
        <v>363</v>
      </c>
      <c r="B476" s="11" t="s">
        <v>233</v>
      </c>
      <c r="C476" s="11" t="s">
        <v>295</v>
      </c>
      <c r="D476" s="11" t="s">
        <v>1370</v>
      </c>
      <c r="E476" s="11">
        <v>1.0970099999999989</v>
      </c>
    </row>
    <row r="477" spans="1:5" ht="24.75">
      <c r="A477" s="11" t="s">
        <v>363</v>
      </c>
      <c r="B477" s="11" t="s">
        <v>233</v>
      </c>
      <c r="C477" s="11" t="s">
        <v>295</v>
      </c>
      <c r="D477" s="11" t="s">
        <v>1371</v>
      </c>
      <c r="E477" s="11">
        <v>0.76829999999999865</v>
      </c>
    </row>
    <row r="478" spans="1:5" ht="24.75">
      <c r="A478" s="11" t="s">
        <v>363</v>
      </c>
      <c r="B478" s="11" t="s">
        <v>233</v>
      </c>
      <c r="C478" s="11" t="s">
        <v>295</v>
      </c>
      <c r="D478" s="11" t="s">
        <v>1372</v>
      </c>
      <c r="E478" s="11">
        <v>0.76720000000000321</v>
      </c>
    </row>
    <row r="479" spans="1:5" ht="24.75">
      <c r="A479" s="11" t="s">
        <v>363</v>
      </c>
      <c r="B479" s="11" t="s">
        <v>233</v>
      </c>
      <c r="C479" s="11" t="s">
        <v>295</v>
      </c>
      <c r="D479" s="11" t="s">
        <v>1373</v>
      </c>
      <c r="E479" s="11">
        <v>0.76719999999999888</v>
      </c>
    </row>
    <row r="480" spans="1:5" ht="24.75">
      <c r="A480" s="11" t="s">
        <v>363</v>
      </c>
      <c r="B480" s="11" t="s">
        <v>233</v>
      </c>
      <c r="C480" s="11" t="s">
        <v>295</v>
      </c>
      <c r="D480" s="11" t="s">
        <v>1374</v>
      </c>
      <c r="E480" s="11">
        <v>0.23349451528784962</v>
      </c>
    </row>
    <row r="481" spans="1:5" ht="24.75">
      <c r="A481" s="11" t="s">
        <v>363</v>
      </c>
      <c r="B481" s="11" t="s">
        <v>233</v>
      </c>
      <c r="C481" s="11" t="s">
        <v>295</v>
      </c>
      <c r="D481" s="11" t="s">
        <v>1375</v>
      </c>
      <c r="E481" s="11">
        <v>0.94061998570203531</v>
      </c>
    </row>
    <row r="482" spans="1:5" ht="24.75">
      <c r="A482" s="11" t="s">
        <v>363</v>
      </c>
      <c r="B482" s="11" t="s">
        <v>233</v>
      </c>
      <c r="C482" s="11" t="s">
        <v>295</v>
      </c>
      <c r="D482" s="11" t="s">
        <v>1376</v>
      </c>
      <c r="E482" s="11">
        <v>0.95954994780003922</v>
      </c>
    </row>
    <row r="483" spans="1:5" ht="24.75">
      <c r="A483" s="11" t="s">
        <v>363</v>
      </c>
      <c r="B483" s="11" t="s">
        <v>233</v>
      </c>
      <c r="C483" s="11" t="s">
        <v>295</v>
      </c>
      <c r="D483" s="11" t="s">
        <v>1377</v>
      </c>
      <c r="E483" s="11">
        <v>0.94728148601721063</v>
      </c>
    </row>
    <row r="484" spans="1:5" ht="24.75">
      <c r="A484" s="11" t="s">
        <v>363</v>
      </c>
      <c r="B484" s="11" t="s">
        <v>233</v>
      </c>
      <c r="C484" s="11" t="s">
        <v>295</v>
      </c>
      <c r="D484" s="11" t="s">
        <v>1378</v>
      </c>
      <c r="E484" s="11">
        <v>0.95108674220823786</v>
      </c>
    </row>
    <row r="485" spans="1:5" ht="24.75">
      <c r="A485" s="11" t="s">
        <v>363</v>
      </c>
      <c r="B485" s="11" t="s">
        <v>233</v>
      </c>
      <c r="C485" s="11" t="s">
        <v>295</v>
      </c>
      <c r="D485" s="11" t="s">
        <v>1379</v>
      </c>
      <c r="E485" s="11">
        <v>0.10614153218931413</v>
      </c>
    </row>
    <row r="486" spans="1:5" ht="24.75">
      <c r="A486" s="11" t="s">
        <v>363</v>
      </c>
      <c r="B486" s="11" t="s">
        <v>233</v>
      </c>
      <c r="C486" s="11" t="s">
        <v>295</v>
      </c>
      <c r="D486" s="11" t="s">
        <v>1380</v>
      </c>
      <c r="E486" s="11">
        <v>0.69500000000000095</v>
      </c>
    </row>
    <row r="487" spans="1:5" ht="24.75">
      <c r="A487" s="11" t="s">
        <v>363</v>
      </c>
      <c r="B487" s="11" t="s">
        <v>233</v>
      </c>
      <c r="C487" s="11" t="s">
        <v>295</v>
      </c>
      <c r="D487" s="11" t="s">
        <v>1381</v>
      </c>
      <c r="E487" s="11">
        <v>0.2419374757952357</v>
      </c>
    </row>
    <row r="488" spans="1:5" ht="24.75">
      <c r="A488" s="11" t="s">
        <v>363</v>
      </c>
      <c r="B488" s="11" t="s">
        <v>233</v>
      </c>
      <c r="C488" s="11" t="s">
        <v>295</v>
      </c>
      <c r="D488" s="11" t="s">
        <v>1382</v>
      </c>
      <c r="E488" s="11">
        <v>0.80426943712350729</v>
      </c>
    </row>
    <row r="489" spans="1:5" ht="24.75">
      <c r="A489" s="11" t="s">
        <v>363</v>
      </c>
      <c r="B489" s="11" t="s">
        <v>233</v>
      </c>
      <c r="C489" s="11" t="s">
        <v>295</v>
      </c>
      <c r="D489" s="11" t="s">
        <v>1383</v>
      </c>
      <c r="E489" s="11">
        <v>0.77003864299115843</v>
      </c>
    </row>
    <row r="490" spans="1:5" ht="24.75">
      <c r="A490" s="11" t="s">
        <v>363</v>
      </c>
      <c r="B490" s="11" t="s">
        <v>233</v>
      </c>
      <c r="C490" s="11" t="s">
        <v>295</v>
      </c>
      <c r="D490" s="11" t="s">
        <v>1384</v>
      </c>
      <c r="E490" s="11">
        <v>1.1470431587113987</v>
      </c>
    </row>
    <row r="491" spans="1:5" ht="24.75">
      <c r="A491" s="11" t="s">
        <v>363</v>
      </c>
      <c r="B491" s="11" t="s">
        <v>233</v>
      </c>
      <c r="C491" s="11" t="s">
        <v>295</v>
      </c>
      <c r="D491" s="11" t="s">
        <v>1385</v>
      </c>
      <c r="E491" s="11">
        <v>0.72521000000000058</v>
      </c>
    </row>
    <row r="492" spans="1:5" ht="24.75">
      <c r="A492" s="11" t="s">
        <v>363</v>
      </c>
      <c r="B492" s="11" t="s">
        <v>233</v>
      </c>
      <c r="C492" s="11" t="s">
        <v>295</v>
      </c>
      <c r="D492" s="11" t="s">
        <v>1386</v>
      </c>
      <c r="E492" s="11">
        <v>1.8873974786298038</v>
      </c>
    </row>
    <row r="493" spans="1:5" ht="24.75">
      <c r="A493" s="11" t="s">
        <v>363</v>
      </c>
      <c r="B493" s="11" t="s">
        <v>233</v>
      </c>
      <c r="C493" s="11" t="s">
        <v>295</v>
      </c>
      <c r="D493" s="11" t="s">
        <v>1387</v>
      </c>
      <c r="E493" s="11">
        <v>0.33364842785332099</v>
      </c>
    </row>
    <row r="494" spans="1:5" ht="24.75">
      <c r="A494" s="11" t="s">
        <v>363</v>
      </c>
      <c r="B494" s="11" t="s">
        <v>233</v>
      </c>
      <c r="C494" s="11" t="s">
        <v>295</v>
      </c>
      <c r="D494" s="11" t="s">
        <v>1388</v>
      </c>
      <c r="E494" s="11">
        <v>0.85201000000000082</v>
      </c>
    </row>
    <row r="495" spans="1:5" ht="24.75">
      <c r="A495" s="11" t="s">
        <v>363</v>
      </c>
      <c r="B495" s="11" t="s">
        <v>233</v>
      </c>
      <c r="C495" s="11" t="s">
        <v>295</v>
      </c>
      <c r="D495" s="11" t="s">
        <v>1389</v>
      </c>
      <c r="E495" s="11">
        <v>0.19796902208118144</v>
      </c>
    </row>
    <row r="496" spans="1:5" ht="24.75">
      <c r="A496" s="11" t="s">
        <v>363</v>
      </c>
      <c r="B496" s="11" t="s">
        <v>233</v>
      </c>
      <c r="C496" s="11" t="s">
        <v>295</v>
      </c>
      <c r="D496" s="11" t="s">
        <v>1390</v>
      </c>
      <c r="E496" s="11">
        <v>1.1270099999999945</v>
      </c>
    </row>
    <row r="497" spans="1:5" ht="24.75">
      <c r="A497" s="11" t="s">
        <v>363</v>
      </c>
      <c r="B497" s="11" t="s">
        <v>233</v>
      </c>
      <c r="C497" s="11" t="s">
        <v>295</v>
      </c>
      <c r="D497" s="11" t="s">
        <v>1391</v>
      </c>
      <c r="E497" s="11">
        <v>1.2243292100086596</v>
      </c>
    </row>
    <row r="498" spans="1:5" ht="24.75">
      <c r="A498" s="11" t="s">
        <v>363</v>
      </c>
      <c r="B498" s="11" t="s">
        <v>233</v>
      </c>
      <c r="C498" s="11" t="s">
        <v>295</v>
      </c>
      <c r="D498" s="11" t="s">
        <v>1392</v>
      </c>
      <c r="E498" s="11">
        <v>1.4610099999999977</v>
      </c>
    </row>
    <row r="499" spans="1:5" ht="24.75">
      <c r="A499" s="11" t="s">
        <v>363</v>
      </c>
      <c r="B499" s="11" t="s">
        <v>233</v>
      </c>
      <c r="C499" s="11" t="s">
        <v>295</v>
      </c>
      <c r="D499" s="11" t="s">
        <v>1393</v>
      </c>
      <c r="E499" s="11">
        <v>0.15550450575266117</v>
      </c>
    </row>
    <row r="500" spans="1:5" ht="24.75">
      <c r="A500" s="11" t="s">
        <v>363</v>
      </c>
      <c r="B500" s="11" t="s">
        <v>233</v>
      </c>
      <c r="C500" s="11" t="s">
        <v>295</v>
      </c>
      <c r="D500" s="11" t="s">
        <v>1394</v>
      </c>
      <c r="E500" s="11">
        <v>3.8629134934204702E-2</v>
      </c>
    </row>
    <row r="501" spans="1:5" ht="24.75">
      <c r="A501" s="11" t="s">
        <v>363</v>
      </c>
      <c r="B501" s="11" t="s">
        <v>233</v>
      </c>
      <c r="C501" s="11" t="s">
        <v>295</v>
      </c>
      <c r="D501" s="11" t="s">
        <v>1395</v>
      </c>
      <c r="E501" s="11">
        <v>4.0117282581930494E-2</v>
      </c>
    </row>
    <row r="502" spans="1:5" ht="24.75">
      <c r="A502" s="11" t="s">
        <v>363</v>
      </c>
      <c r="B502" s="11" t="s">
        <v>233</v>
      </c>
      <c r="C502" s="11" t="s">
        <v>295</v>
      </c>
      <c r="D502" s="11" t="s">
        <v>1396</v>
      </c>
      <c r="E502" s="11">
        <v>0.31663202055349132</v>
      </c>
    </row>
    <row r="503" spans="1:5" ht="24.75">
      <c r="A503" s="11" t="s">
        <v>363</v>
      </c>
      <c r="B503" s="11" t="s">
        <v>233</v>
      </c>
      <c r="C503" s="11" t="s">
        <v>295</v>
      </c>
      <c r="D503" s="11" t="s">
        <v>1397</v>
      </c>
      <c r="E503" s="11">
        <v>4.6212200730247934</v>
      </c>
    </row>
    <row r="504" spans="1:5" ht="24.75">
      <c r="A504" s="11" t="s">
        <v>363</v>
      </c>
      <c r="B504" s="11" t="s">
        <v>233</v>
      </c>
      <c r="C504" s="11" t="s">
        <v>295</v>
      </c>
      <c r="D504" s="11" t="s">
        <v>1398</v>
      </c>
      <c r="E504" s="11">
        <v>0.81007778932284913</v>
      </c>
    </row>
    <row r="505" spans="1:5" ht="24.75">
      <c r="A505" s="11" t="s">
        <v>363</v>
      </c>
      <c r="B505" s="11" t="s">
        <v>233</v>
      </c>
      <c r="C505" s="11" t="s">
        <v>295</v>
      </c>
      <c r="D505" s="11" t="s">
        <v>1399</v>
      </c>
      <c r="E505" s="11">
        <v>0.15354749985398117</v>
      </c>
    </row>
    <row r="506" spans="1:5" ht="24.75">
      <c r="A506" s="11" t="s">
        <v>363</v>
      </c>
      <c r="B506" s="11" t="s">
        <v>233</v>
      </c>
      <c r="C506" s="11" t="s">
        <v>295</v>
      </c>
      <c r="D506" s="11" t="s">
        <v>1400</v>
      </c>
      <c r="E506" s="11">
        <v>0.15603749603599629</v>
      </c>
    </row>
    <row r="507" spans="1:5" ht="24.75">
      <c r="A507" s="11" t="s">
        <v>363</v>
      </c>
      <c r="B507" s="11" t="s">
        <v>233</v>
      </c>
      <c r="C507" s="11" t="s">
        <v>295</v>
      </c>
      <c r="D507" s="11" t="s">
        <v>1401</v>
      </c>
      <c r="E507" s="11">
        <v>0.15603748837349526</v>
      </c>
    </row>
    <row r="508" spans="1:5" ht="24.75">
      <c r="A508" s="11" t="s">
        <v>363</v>
      </c>
      <c r="B508" s="11" t="s">
        <v>233</v>
      </c>
      <c r="C508" s="11" t="s">
        <v>295</v>
      </c>
      <c r="D508" s="11" t="s">
        <v>1402</v>
      </c>
      <c r="E508" s="11">
        <v>0.15603749952365858</v>
      </c>
    </row>
    <row r="509" spans="1:5" ht="24.75">
      <c r="A509" s="11" t="s">
        <v>363</v>
      </c>
      <c r="B509" s="11" t="s">
        <v>233</v>
      </c>
      <c r="C509" s="11" t="s">
        <v>295</v>
      </c>
      <c r="D509" s="11" t="s">
        <v>1403</v>
      </c>
      <c r="E509" s="11">
        <v>0.15603748605189552</v>
      </c>
    </row>
    <row r="510" spans="1:5" ht="24.75">
      <c r="A510" s="11" t="s">
        <v>363</v>
      </c>
      <c r="B510" s="11" t="s">
        <v>233</v>
      </c>
      <c r="C510" s="11" t="s">
        <v>295</v>
      </c>
      <c r="D510" s="11" t="s">
        <v>1404</v>
      </c>
      <c r="E510" s="11">
        <v>2.3912832281843577</v>
      </c>
    </row>
    <row r="511" spans="1:5" ht="24.75">
      <c r="A511" s="11" t="s">
        <v>363</v>
      </c>
      <c r="B511" s="11" t="s">
        <v>233</v>
      </c>
      <c r="C511" s="11" t="s">
        <v>295</v>
      </c>
      <c r="D511" s="11" t="s">
        <v>1405</v>
      </c>
      <c r="E511" s="11">
        <v>2.1784662015910889</v>
      </c>
    </row>
    <row r="512" spans="1:5" ht="24.75">
      <c r="A512" s="11" t="s">
        <v>363</v>
      </c>
      <c r="B512" s="11" t="s">
        <v>233</v>
      </c>
      <c r="C512" s="11" t="s">
        <v>295</v>
      </c>
      <c r="D512" s="11" t="s">
        <v>1406</v>
      </c>
      <c r="E512" s="11">
        <v>0.31952282969414225</v>
      </c>
    </row>
    <row r="513" spans="1:5" ht="24.75">
      <c r="A513" s="11" t="s">
        <v>363</v>
      </c>
      <c r="B513" s="11" t="s">
        <v>233</v>
      </c>
      <c r="C513" s="11" t="s">
        <v>295</v>
      </c>
      <c r="D513" s="11" t="s">
        <v>1407</v>
      </c>
      <c r="E513" s="11">
        <v>0.21820153251348234</v>
      </c>
    </row>
    <row r="514" spans="1:5" ht="24.75">
      <c r="A514" s="11" t="s">
        <v>363</v>
      </c>
      <c r="B514" s="11" t="s">
        <v>233</v>
      </c>
      <c r="C514" s="11" t="s">
        <v>295</v>
      </c>
      <c r="D514" s="11" t="s">
        <v>1408</v>
      </c>
      <c r="E514" s="11">
        <v>9.3875180901504748E-2</v>
      </c>
    </row>
    <row r="515" spans="1:5" ht="24.75">
      <c r="A515" s="11" t="s">
        <v>363</v>
      </c>
      <c r="B515" s="11" t="s">
        <v>233</v>
      </c>
      <c r="C515" s="11" t="s">
        <v>295</v>
      </c>
      <c r="D515" s="11" t="s">
        <v>1409</v>
      </c>
      <c r="E515" s="11">
        <v>6.9961139123148067E-2</v>
      </c>
    </row>
    <row r="516" spans="1:5" ht="24.75">
      <c r="A516" s="11" t="s">
        <v>363</v>
      </c>
      <c r="B516" s="11" t="s">
        <v>233</v>
      </c>
      <c r="C516" s="11" t="s">
        <v>295</v>
      </c>
      <c r="D516" s="11" t="s">
        <v>1410</v>
      </c>
      <c r="E516" s="11">
        <v>6.3461105614016272E-2</v>
      </c>
    </row>
    <row r="517" spans="1:5" ht="24.75">
      <c r="A517" s="11" t="s">
        <v>363</v>
      </c>
      <c r="B517" s="11" t="s">
        <v>233</v>
      </c>
      <c r="C517" s="11" t="s">
        <v>295</v>
      </c>
      <c r="D517" s="11" t="s">
        <v>1411</v>
      </c>
      <c r="E517" s="11">
        <v>6.9967095159495632E-2</v>
      </c>
    </row>
    <row r="518" spans="1:5" ht="24.75">
      <c r="A518" s="11" t="s">
        <v>363</v>
      </c>
      <c r="B518" s="11" t="s">
        <v>233</v>
      </c>
      <c r="C518" s="11" t="s">
        <v>295</v>
      </c>
      <c r="D518" s="11" t="s">
        <v>1412</v>
      </c>
      <c r="E518" s="11">
        <v>6.3467095174592675E-2</v>
      </c>
    </row>
    <row r="519" spans="1:5" ht="24.75">
      <c r="A519" s="11" t="s">
        <v>363</v>
      </c>
      <c r="B519" s="11" t="s">
        <v>233</v>
      </c>
      <c r="C519" s="11" t="s">
        <v>295</v>
      </c>
      <c r="D519" s="11" t="s">
        <v>1413</v>
      </c>
      <c r="E519" s="11">
        <v>6.3467095086943454E-2</v>
      </c>
    </row>
    <row r="520" spans="1:5" ht="24.75">
      <c r="A520" s="11" t="s">
        <v>363</v>
      </c>
      <c r="B520" s="11" t="s">
        <v>233</v>
      </c>
      <c r="C520" s="11" t="s">
        <v>295</v>
      </c>
      <c r="D520" s="11" t="s">
        <v>1414</v>
      </c>
      <c r="E520" s="11">
        <v>6.3467094934880147E-2</v>
      </c>
    </row>
    <row r="521" spans="1:5" ht="24.75">
      <c r="A521" s="11" t="s">
        <v>363</v>
      </c>
      <c r="B521" s="11" t="s">
        <v>233</v>
      </c>
      <c r="C521" s="11" t="s">
        <v>295</v>
      </c>
      <c r="D521" s="11" t="s">
        <v>1415</v>
      </c>
      <c r="E521" s="11">
        <v>6.3467094781836778E-2</v>
      </c>
    </row>
    <row r="522" spans="1:5" ht="24.75">
      <c r="A522" s="11" t="s">
        <v>363</v>
      </c>
      <c r="B522" s="11" t="s">
        <v>233</v>
      </c>
      <c r="C522" s="11" t="s">
        <v>295</v>
      </c>
      <c r="D522" s="11" t="s">
        <v>1416</v>
      </c>
      <c r="E522" s="11">
        <v>5.6426797698528881E-2</v>
      </c>
    </row>
    <row r="523" spans="1:5" ht="24.75">
      <c r="A523" s="11" t="s">
        <v>363</v>
      </c>
      <c r="B523" s="11" t="s">
        <v>233</v>
      </c>
      <c r="C523" s="11" t="s">
        <v>295</v>
      </c>
      <c r="D523" s="11" t="s">
        <v>1417</v>
      </c>
      <c r="E523" s="11">
        <v>3.8607024567913828</v>
      </c>
    </row>
    <row r="524" spans="1:5" ht="24.75">
      <c r="A524" s="11" t="s">
        <v>363</v>
      </c>
      <c r="B524" s="11" t="s">
        <v>233</v>
      </c>
      <c r="C524" s="11" t="s">
        <v>295</v>
      </c>
      <c r="D524" s="11" t="s">
        <v>1418</v>
      </c>
      <c r="E524" s="11">
        <v>0.36593136023628381</v>
      </c>
    </row>
    <row r="525" spans="1:5" ht="24.75">
      <c r="A525" s="11" t="s">
        <v>363</v>
      </c>
      <c r="B525" s="11" t="s">
        <v>233</v>
      </c>
      <c r="C525" s="11" t="s">
        <v>295</v>
      </c>
      <c r="D525" s="11" t="s">
        <v>1419</v>
      </c>
      <c r="E525" s="11">
        <v>0.46401404844878352</v>
      </c>
    </row>
    <row r="526" spans="1:5" ht="24.75">
      <c r="A526" s="11" t="s">
        <v>363</v>
      </c>
      <c r="B526" s="11" t="s">
        <v>233</v>
      </c>
      <c r="C526" s="11" t="s">
        <v>295</v>
      </c>
      <c r="D526" s="11" t="s">
        <v>1420</v>
      </c>
      <c r="E526" s="11">
        <v>3.7643633275688142E-2</v>
      </c>
    </row>
    <row r="527" spans="1:5" ht="24.75">
      <c r="A527" s="11" t="s">
        <v>363</v>
      </c>
      <c r="B527" s="11" t="s">
        <v>233</v>
      </c>
      <c r="C527" s="11" t="s">
        <v>295</v>
      </c>
      <c r="D527" s="11" t="s">
        <v>1421</v>
      </c>
      <c r="E527" s="11">
        <v>0.54774063138533258</v>
      </c>
    </row>
    <row r="528" spans="1:5" ht="24.75">
      <c r="A528" s="11" t="s">
        <v>363</v>
      </c>
      <c r="B528" s="11" t="s">
        <v>233</v>
      </c>
      <c r="C528" s="11" t="s">
        <v>295</v>
      </c>
      <c r="D528" s="11" t="s">
        <v>1422</v>
      </c>
      <c r="E528" s="11">
        <v>3.9073334491527389E-2</v>
      </c>
    </row>
    <row r="529" spans="1:5" ht="24.75">
      <c r="A529" s="11" t="s">
        <v>363</v>
      </c>
      <c r="B529" s="11" t="s">
        <v>233</v>
      </c>
      <c r="C529" s="11" t="s">
        <v>295</v>
      </c>
      <c r="D529" s="11" t="s">
        <v>1423</v>
      </c>
      <c r="E529" s="11">
        <v>0.53297886705683073</v>
      </c>
    </row>
    <row r="530" spans="1:5" ht="24.75">
      <c r="A530" s="11" t="s">
        <v>363</v>
      </c>
      <c r="B530" s="11" t="s">
        <v>233</v>
      </c>
      <c r="C530" s="11" t="s">
        <v>295</v>
      </c>
      <c r="D530" s="11" t="s">
        <v>1424</v>
      </c>
      <c r="E530" s="11">
        <v>0.80095000000003225</v>
      </c>
    </row>
    <row r="531" spans="1:5" ht="24.75">
      <c r="A531" s="11" t="s">
        <v>363</v>
      </c>
      <c r="B531" s="11" t="s">
        <v>233</v>
      </c>
      <c r="C531" s="11" t="s">
        <v>295</v>
      </c>
      <c r="D531" s="11" t="s">
        <v>1425</v>
      </c>
      <c r="E531" s="11">
        <v>6.1394395806128657</v>
      </c>
    </row>
    <row r="532" spans="1:5" ht="24.75">
      <c r="A532" s="11" t="s">
        <v>363</v>
      </c>
      <c r="B532" s="11" t="s">
        <v>233</v>
      </c>
      <c r="C532" s="11" t="s">
        <v>295</v>
      </c>
      <c r="D532" s="11" t="s">
        <v>1426</v>
      </c>
      <c r="E532" s="11">
        <v>6.1937001691849627</v>
      </c>
    </row>
    <row r="533" spans="1:5" ht="24.75">
      <c r="A533" s="11" t="s">
        <v>363</v>
      </c>
      <c r="B533" s="11" t="s">
        <v>233</v>
      </c>
      <c r="C533" s="11" t="s">
        <v>295</v>
      </c>
      <c r="D533" s="11" t="s">
        <v>1427</v>
      </c>
      <c r="E533" s="11">
        <v>0.11683705551653945</v>
      </c>
    </row>
    <row r="534" spans="1:5" ht="24.75">
      <c r="A534" s="11" t="s">
        <v>363</v>
      </c>
      <c r="B534" s="11" t="s">
        <v>233</v>
      </c>
      <c r="C534" s="11" t="s">
        <v>295</v>
      </c>
      <c r="D534" s="11" t="s">
        <v>1428</v>
      </c>
      <c r="E534" s="11">
        <v>0.11683699205518605</v>
      </c>
    </row>
    <row r="535" spans="1:5" ht="24.75">
      <c r="A535" s="11" t="s">
        <v>363</v>
      </c>
      <c r="B535" s="11" t="s">
        <v>233</v>
      </c>
      <c r="C535" s="11" t="s">
        <v>295</v>
      </c>
      <c r="D535" s="11" t="s">
        <v>1429</v>
      </c>
      <c r="E535" s="11">
        <v>0.11683701785562647</v>
      </c>
    </row>
    <row r="536" spans="1:5" ht="24.75">
      <c r="A536" s="11" t="s">
        <v>363</v>
      </c>
      <c r="B536" s="11" t="s">
        <v>233</v>
      </c>
      <c r="C536" s="11" t="s">
        <v>295</v>
      </c>
      <c r="D536" s="11" t="s">
        <v>1430</v>
      </c>
      <c r="E536" s="11">
        <v>0.11683772613289631</v>
      </c>
    </row>
    <row r="537" spans="1:5" ht="24.75">
      <c r="A537" s="11" t="s">
        <v>363</v>
      </c>
      <c r="B537" s="11" t="s">
        <v>233</v>
      </c>
      <c r="C537" s="11" t="s">
        <v>295</v>
      </c>
      <c r="D537" s="11" t="s">
        <v>1431</v>
      </c>
      <c r="E537" s="11">
        <v>1.7275525529303204</v>
      </c>
    </row>
    <row r="538" spans="1:5" ht="24.75">
      <c r="A538" s="11" t="s">
        <v>363</v>
      </c>
      <c r="B538" s="11" t="s">
        <v>233</v>
      </c>
      <c r="C538" s="11" t="s">
        <v>295</v>
      </c>
      <c r="D538" s="11" t="s">
        <v>1432</v>
      </c>
      <c r="E538" s="11">
        <v>1.2028175423205143</v>
      </c>
    </row>
    <row r="539" spans="1:5" ht="24.75">
      <c r="A539" s="11" t="s">
        <v>363</v>
      </c>
      <c r="B539" s="11" t="s">
        <v>233</v>
      </c>
      <c r="C539" s="11" t="s">
        <v>295</v>
      </c>
      <c r="D539" s="11" t="s">
        <v>1433</v>
      </c>
      <c r="E539" s="11">
        <v>0.71329999997133731</v>
      </c>
    </row>
    <row r="540" spans="1:5" ht="24.75">
      <c r="A540" s="11" t="s">
        <v>363</v>
      </c>
      <c r="B540" s="11" t="s">
        <v>233</v>
      </c>
      <c r="C540" s="11" t="s">
        <v>295</v>
      </c>
      <c r="D540" s="11" t="s">
        <v>1434</v>
      </c>
      <c r="E540" s="11">
        <v>4.3226100012583473</v>
      </c>
    </row>
    <row r="541" spans="1:5" ht="24.75">
      <c r="A541" s="11" t="s">
        <v>363</v>
      </c>
      <c r="B541" s="11" t="s">
        <v>233</v>
      </c>
      <c r="C541" s="11" t="s">
        <v>295</v>
      </c>
      <c r="D541" s="11" t="s">
        <v>1435</v>
      </c>
      <c r="E541" s="11">
        <v>0.23012480331237947</v>
      </c>
    </row>
    <row r="542" spans="1:5" ht="24.75">
      <c r="A542" s="11" t="s">
        <v>363</v>
      </c>
      <c r="B542" s="11" t="s">
        <v>233</v>
      </c>
      <c r="C542" s="11" t="s">
        <v>295</v>
      </c>
      <c r="D542" s="11" t="s">
        <v>1436</v>
      </c>
      <c r="E542" s="11">
        <v>0.2257169033233784</v>
      </c>
    </row>
    <row r="543" spans="1:5" ht="24.75">
      <c r="A543" s="11" t="s">
        <v>363</v>
      </c>
      <c r="B543" s="11" t="s">
        <v>233</v>
      </c>
      <c r="C543" s="11" t="s">
        <v>295</v>
      </c>
      <c r="D543" s="11" t="s">
        <v>1437</v>
      </c>
      <c r="E543" s="11">
        <v>0.42652758864702067</v>
      </c>
    </row>
    <row r="544" spans="1:5" ht="24.75">
      <c r="A544" s="11" t="s">
        <v>363</v>
      </c>
      <c r="B544" s="11" t="s">
        <v>233</v>
      </c>
      <c r="C544" s="11" t="s">
        <v>295</v>
      </c>
      <c r="D544" s="11" t="s">
        <v>1438</v>
      </c>
      <c r="E544" s="11">
        <v>0.52181398532701706</v>
      </c>
    </row>
    <row r="545" spans="1:5" ht="24.75">
      <c r="A545" s="11" t="s">
        <v>363</v>
      </c>
      <c r="B545" s="11" t="s">
        <v>233</v>
      </c>
      <c r="C545" s="11" t="s">
        <v>295</v>
      </c>
      <c r="D545" s="11" t="s">
        <v>1439</v>
      </c>
      <c r="E545" s="11">
        <v>2.5198715034701307</v>
      </c>
    </row>
    <row r="546" spans="1:5" ht="24.75">
      <c r="A546" s="11" t="s">
        <v>363</v>
      </c>
      <c r="B546" s="11" t="s">
        <v>233</v>
      </c>
      <c r="C546" s="11" t="s">
        <v>295</v>
      </c>
      <c r="D546" s="11" t="s">
        <v>1440</v>
      </c>
      <c r="E546" s="11">
        <v>0.15400099251415864</v>
      </c>
    </row>
    <row r="547" spans="1:5" ht="24.75">
      <c r="A547" s="11" t="s">
        <v>363</v>
      </c>
      <c r="B547" s="11" t="s">
        <v>233</v>
      </c>
      <c r="C547" s="11" t="s">
        <v>295</v>
      </c>
      <c r="D547" s="11" t="s">
        <v>1441</v>
      </c>
      <c r="E547" s="11">
        <v>3.9109666355070734</v>
      </c>
    </row>
    <row r="548" spans="1:5" ht="24.75">
      <c r="A548" s="11" t="s">
        <v>363</v>
      </c>
      <c r="B548" s="11" t="s">
        <v>233</v>
      </c>
      <c r="C548" s="11" t="s">
        <v>295</v>
      </c>
      <c r="D548" s="11" t="s">
        <v>1442</v>
      </c>
      <c r="E548" s="11">
        <v>6.5600122808913364</v>
      </c>
    </row>
    <row r="549" spans="1:5" ht="24.75">
      <c r="A549" s="11" t="s">
        <v>363</v>
      </c>
      <c r="B549" s="11" t="s">
        <v>233</v>
      </c>
      <c r="C549" s="11" t="s">
        <v>295</v>
      </c>
      <c r="D549" s="11" t="s">
        <v>1443</v>
      </c>
      <c r="E549" s="11">
        <v>3.0947413420755826E-2</v>
      </c>
    </row>
    <row r="550" spans="1:5" ht="24.75">
      <c r="A550" s="11" t="s">
        <v>363</v>
      </c>
      <c r="B550" s="11" t="s">
        <v>233</v>
      </c>
      <c r="C550" s="11" t="s">
        <v>295</v>
      </c>
      <c r="D550" s="11" t="s">
        <v>1444</v>
      </c>
      <c r="E550" s="11">
        <v>1.0851350000000024</v>
      </c>
    </row>
    <row r="551" spans="1:5" ht="24.75">
      <c r="A551" s="11" t="s">
        <v>363</v>
      </c>
      <c r="B551" s="11" t="s">
        <v>233</v>
      </c>
      <c r="C551" s="11" t="s">
        <v>295</v>
      </c>
      <c r="D551" s="11" t="s">
        <v>1445</v>
      </c>
      <c r="E551" s="11">
        <v>1.0970100000000005</v>
      </c>
    </row>
    <row r="552" spans="1:5" ht="24.75">
      <c r="A552" s="11" t="s">
        <v>363</v>
      </c>
      <c r="B552" s="11" t="s">
        <v>233</v>
      </c>
      <c r="C552" s="11" t="s">
        <v>295</v>
      </c>
      <c r="D552" s="11" t="s">
        <v>1446</v>
      </c>
      <c r="E552" s="11">
        <v>0.48529611901857067</v>
      </c>
    </row>
    <row r="553" spans="1:5" ht="24.75">
      <c r="A553" s="11" t="s">
        <v>363</v>
      </c>
      <c r="B553" s="11" t="s">
        <v>233</v>
      </c>
      <c r="C553" s="11" t="s">
        <v>295</v>
      </c>
      <c r="D553" s="11" t="s">
        <v>1447</v>
      </c>
      <c r="E553" s="11">
        <v>1.3684680442810819</v>
      </c>
    </row>
    <row r="554" spans="1:5" ht="24.75">
      <c r="A554" s="11" t="s">
        <v>363</v>
      </c>
      <c r="B554" s="11" t="s">
        <v>233</v>
      </c>
      <c r="C554" s="11" t="s">
        <v>295</v>
      </c>
      <c r="D554" s="11" t="s">
        <v>1448</v>
      </c>
      <c r="E554" s="11">
        <v>0.1939947475389075</v>
      </c>
    </row>
    <row r="555" spans="1:5" ht="24.75">
      <c r="A555" s="11" t="s">
        <v>363</v>
      </c>
      <c r="B555" s="11" t="s">
        <v>233</v>
      </c>
      <c r="C555" s="11" t="s">
        <v>295</v>
      </c>
      <c r="D555" s="11" t="s">
        <v>1449</v>
      </c>
      <c r="E555" s="11">
        <v>1.4926350000000086</v>
      </c>
    </row>
    <row r="556" spans="1:5" ht="24.75">
      <c r="A556" s="11" t="s">
        <v>363</v>
      </c>
      <c r="B556" s="11" t="s">
        <v>233</v>
      </c>
      <c r="C556" s="11" t="s">
        <v>295</v>
      </c>
      <c r="D556" s="11" t="s">
        <v>1450</v>
      </c>
      <c r="E556" s="11">
        <v>1.4970100000000002</v>
      </c>
    </row>
    <row r="557" spans="1:5" ht="24.75">
      <c r="A557" s="11" t="s">
        <v>363</v>
      </c>
      <c r="B557" s="11" t="s">
        <v>233</v>
      </c>
      <c r="C557" s="11" t="s">
        <v>295</v>
      </c>
      <c r="D557" s="11" t="s">
        <v>1451</v>
      </c>
      <c r="E557" s="11">
        <v>2.1659127683405948</v>
      </c>
    </row>
    <row r="558" spans="1:5" ht="24.75">
      <c r="A558" s="11" t="s">
        <v>363</v>
      </c>
      <c r="B558" s="11" t="s">
        <v>233</v>
      </c>
      <c r="C558" s="11" t="s">
        <v>295</v>
      </c>
      <c r="D558" s="11" t="s">
        <v>1452</v>
      </c>
      <c r="E558" s="11">
        <v>1.2185599999999981</v>
      </c>
    </row>
    <row r="559" spans="1:5" ht="24.75">
      <c r="A559" s="11" t="s">
        <v>363</v>
      </c>
      <c r="B559" s="11" t="s">
        <v>233</v>
      </c>
      <c r="C559" s="11" t="s">
        <v>295</v>
      </c>
      <c r="D559" s="11" t="s">
        <v>1453</v>
      </c>
      <c r="E559" s="11">
        <v>0.11346255957558778</v>
      </c>
    </row>
    <row r="560" spans="1:5" ht="24.75">
      <c r="A560" s="11" t="s">
        <v>363</v>
      </c>
      <c r="B560" s="11" t="s">
        <v>233</v>
      </c>
      <c r="C560" s="11" t="s">
        <v>295</v>
      </c>
      <c r="D560" s="11" t="s">
        <v>1454</v>
      </c>
      <c r="E560" s="11">
        <v>0.69701000000000057</v>
      </c>
    </row>
    <row r="561" spans="1:5" ht="24.75">
      <c r="A561" s="11" t="s">
        <v>363</v>
      </c>
      <c r="B561" s="11" t="s">
        <v>233</v>
      </c>
      <c r="C561" s="11" t="s">
        <v>295</v>
      </c>
      <c r="D561" s="11" t="s">
        <v>1455</v>
      </c>
      <c r="E561" s="11">
        <v>0.22697839675440365</v>
      </c>
    </row>
    <row r="562" spans="1:5" ht="24.75">
      <c r="A562" s="11" t="s">
        <v>363</v>
      </c>
      <c r="B562" s="11" t="s">
        <v>233</v>
      </c>
      <c r="C562" s="11" t="s">
        <v>295</v>
      </c>
      <c r="D562" s="11" t="s">
        <v>1456</v>
      </c>
      <c r="E562" s="11">
        <v>0.98388499999999901</v>
      </c>
    </row>
    <row r="563" spans="1:5" ht="24.75">
      <c r="A563" s="11" t="s">
        <v>363</v>
      </c>
      <c r="B563" s="11" t="s">
        <v>233</v>
      </c>
      <c r="C563" s="11" t="s">
        <v>295</v>
      </c>
      <c r="D563" s="11" t="s">
        <v>1457</v>
      </c>
      <c r="E563" s="11">
        <v>8.6152868660191451E-2</v>
      </c>
    </row>
    <row r="564" spans="1:5" ht="24.75">
      <c r="A564" s="11" t="s">
        <v>363</v>
      </c>
      <c r="B564" s="11" t="s">
        <v>233</v>
      </c>
      <c r="C564" s="11" t="s">
        <v>295</v>
      </c>
      <c r="D564" s="11" t="s">
        <v>1458</v>
      </c>
      <c r="E564" s="11">
        <v>0.95604994779994967</v>
      </c>
    </row>
    <row r="565" spans="1:5" ht="24.75">
      <c r="A565" s="11" t="s">
        <v>363</v>
      </c>
      <c r="B565" s="11" t="s">
        <v>233</v>
      </c>
      <c r="C565" s="11" t="s">
        <v>295</v>
      </c>
      <c r="D565" s="11" t="s">
        <v>1459</v>
      </c>
      <c r="E565" s="11">
        <v>1.0755015706361986</v>
      </c>
    </row>
    <row r="566" spans="1:5" ht="24.75">
      <c r="A566" s="11" t="s">
        <v>363</v>
      </c>
      <c r="B566" s="11" t="s">
        <v>233</v>
      </c>
      <c r="C566" s="11" t="s">
        <v>295</v>
      </c>
      <c r="D566" s="11" t="s">
        <v>1460</v>
      </c>
      <c r="E566" s="11">
        <v>0.17125124598956898</v>
      </c>
    </row>
    <row r="567" spans="1:5" ht="24.75">
      <c r="A567" s="11" t="s">
        <v>363</v>
      </c>
      <c r="B567" s="11" t="s">
        <v>233</v>
      </c>
      <c r="C567" s="11" t="s">
        <v>295</v>
      </c>
      <c r="D567" s="11" t="s">
        <v>1461</v>
      </c>
      <c r="E567" s="11">
        <v>0.11345787991119466</v>
      </c>
    </row>
    <row r="568" spans="1:5" ht="24.75">
      <c r="A568" s="11" t="s">
        <v>363</v>
      </c>
      <c r="B568" s="11" t="s">
        <v>233</v>
      </c>
      <c r="C568" s="11" t="s">
        <v>295</v>
      </c>
      <c r="D568" s="11" t="s">
        <v>1462</v>
      </c>
      <c r="E568" s="11">
        <v>0.11346256219577318</v>
      </c>
    </row>
    <row r="569" spans="1:5" ht="24.75">
      <c r="A569" s="11" t="s">
        <v>363</v>
      </c>
      <c r="B569" s="11" t="s">
        <v>233</v>
      </c>
      <c r="C569" s="11" t="s">
        <v>295</v>
      </c>
      <c r="D569" s="11" t="s">
        <v>1463</v>
      </c>
      <c r="E569" s="11">
        <v>0.1134625619225149</v>
      </c>
    </row>
    <row r="570" spans="1:5" ht="24.75">
      <c r="A570" s="11" t="s">
        <v>363</v>
      </c>
      <c r="B570" s="11" t="s">
        <v>233</v>
      </c>
      <c r="C570" s="11" t="s">
        <v>295</v>
      </c>
      <c r="D570" s="11" t="s">
        <v>1464</v>
      </c>
      <c r="E570" s="11">
        <v>0.11346256041378723</v>
      </c>
    </row>
    <row r="571" spans="1:5" ht="24.75">
      <c r="A571" s="11" t="s">
        <v>363</v>
      </c>
      <c r="B571" s="11" t="s">
        <v>233</v>
      </c>
      <c r="C571" s="11" t="s">
        <v>295</v>
      </c>
      <c r="D571" s="11" t="s">
        <v>1465</v>
      </c>
      <c r="E571" s="11">
        <v>0.11346256020552806</v>
      </c>
    </row>
    <row r="572" spans="1:5" ht="24.75">
      <c r="A572" s="11" t="s">
        <v>363</v>
      </c>
      <c r="B572" s="11" t="s">
        <v>233</v>
      </c>
      <c r="C572" s="11" t="s">
        <v>295</v>
      </c>
      <c r="D572" s="11" t="s">
        <v>1466</v>
      </c>
      <c r="E572" s="11">
        <v>0.11346256074221457</v>
      </c>
    </row>
    <row r="573" spans="1:5" ht="24.75">
      <c r="A573" s="11" t="s">
        <v>363</v>
      </c>
      <c r="B573" s="11" t="s">
        <v>233</v>
      </c>
      <c r="C573" s="11" t="s">
        <v>295</v>
      </c>
      <c r="D573" s="11" t="s">
        <v>1467</v>
      </c>
      <c r="E573" s="11">
        <v>0.11346257189198203</v>
      </c>
    </row>
    <row r="574" spans="1:5" ht="24.75">
      <c r="A574" s="11" t="s">
        <v>363</v>
      </c>
      <c r="B574" s="11" t="s">
        <v>233</v>
      </c>
      <c r="C574" s="11" t="s">
        <v>295</v>
      </c>
      <c r="D574" s="11" t="s">
        <v>1468</v>
      </c>
      <c r="E574" s="11">
        <v>0.1134625728788921</v>
      </c>
    </row>
    <row r="575" spans="1:5" ht="24.75">
      <c r="A575" s="11" t="s">
        <v>363</v>
      </c>
      <c r="B575" s="11" t="s">
        <v>233</v>
      </c>
      <c r="C575" s="11" t="s">
        <v>295</v>
      </c>
      <c r="D575" s="11" t="s">
        <v>1469</v>
      </c>
      <c r="E575" s="11">
        <v>0.11346257043499942</v>
      </c>
    </row>
    <row r="576" spans="1:5" ht="24.75">
      <c r="A576" s="11" t="s">
        <v>363</v>
      </c>
      <c r="B576" s="11" t="s">
        <v>233</v>
      </c>
      <c r="C576" s="11" t="s">
        <v>295</v>
      </c>
      <c r="D576" s="11" t="s">
        <v>1470</v>
      </c>
      <c r="E576" s="11">
        <v>0.11346256619491342</v>
      </c>
    </row>
    <row r="577" spans="1:5" ht="24.75">
      <c r="A577" s="11" t="s">
        <v>363</v>
      </c>
      <c r="B577" s="11" t="s">
        <v>233</v>
      </c>
      <c r="C577" s="11" t="s">
        <v>295</v>
      </c>
      <c r="D577" s="11" t="s">
        <v>1471</v>
      </c>
      <c r="E577" s="11">
        <v>0.11346255068741007</v>
      </c>
    </row>
    <row r="578" spans="1:5" ht="24.75">
      <c r="A578" s="11" t="s">
        <v>363</v>
      </c>
      <c r="B578" s="11" t="s">
        <v>233</v>
      </c>
      <c r="C578" s="11" t="s">
        <v>295</v>
      </c>
      <c r="D578" s="11" t="s">
        <v>1472</v>
      </c>
      <c r="E578" s="11">
        <v>0.11346255310875573</v>
      </c>
    </row>
    <row r="579" spans="1:5" ht="24.75">
      <c r="A579" s="11" t="s">
        <v>363</v>
      </c>
      <c r="B579" s="11" t="s">
        <v>233</v>
      </c>
      <c r="C579" s="11" t="s">
        <v>295</v>
      </c>
      <c r="D579" s="11" t="s">
        <v>1473</v>
      </c>
      <c r="E579" s="11">
        <v>0.1134625559911852</v>
      </c>
    </row>
    <row r="580" spans="1:5" ht="24.75">
      <c r="A580" s="11" t="s">
        <v>363</v>
      </c>
      <c r="B580" s="11" t="s">
        <v>233</v>
      </c>
      <c r="C580" s="11" t="s">
        <v>295</v>
      </c>
      <c r="D580" s="11" t="s">
        <v>1474</v>
      </c>
      <c r="E580" s="11">
        <v>0.11346255190559773</v>
      </c>
    </row>
    <row r="581" spans="1:5" ht="24.75">
      <c r="A581" s="11" t="s">
        <v>363</v>
      </c>
      <c r="B581" s="11" t="s">
        <v>233</v>
      </c>
      <c r="C581" s="11" t="s">
        <v>295</v>
      </c>
      <c r="D581" s="11" t="s">
        <v>1475</v>
      </c>
      <c r="E581" s="11">
        <v>0.11346255342622739</v>
      </c>
    </row>
    <row r="582" spans="1:5" ht="24.75">
      <c r="A582" s="11" t="s">
        <v>363</v>
      </c>
      <c r="B582" s="11" t="s">
        <v>233</v>
      </c>
      <c r="C582" s="11" t="s">
        <v>295</v>
      </c>
      <c r="D582" s="11" t="s">
        <v>1476</v>
      </c>
      <c r="E582" s="11">
        <v>0.1134625510219351</v>
      </c>
    </row>
    <row r="583" spans="1:5" ht="24.75">
      <c r="A583" s="11" t="s">
        <v>363</v>
      </c>
      <c r="B583" s="11" t="s">
        <v>233</v>
      </c>
      <c r="C583" s="11" t="s">
        <v>295</v>
      </c>
      <c r="D583" s="11" t="s">
        <v>1477</v>
      </c>
      <c r="E583" s="11">
        <v>0.11346255987494372</v>
      </c>
    </row>
    <row r="584" spans="1:5" ht="24.75">
      <c r="A584" s="11" t="s">
        <v>363</v>
      </c>
      <c r="B584" s="11" t="s">
        <v>233</v>
      </c>
      <c r="C584" s="11" t="s">
        <v>295</v>
      </c>
      <c r="D584" s="11" t="s">
        <v>1478</v>
      </c>
      <c r="E584" s="11">
        <v>0.1134625565627166</v>
      </c>
    </row>
    <row r="585" spans="1:5" ht="24.75">
      <c r="A585" s="11" t="s">
        <v>363</v>
      </c>
      <c r="B585" s="11" t="s">
        <v>233</v>
      </c>
      <c r="C585" s="11" t="s">
        <v>295</v>
      </c>
      <c r="D585" s="11" t="s">
        <v>1479</v>
      </c>
      <c r="E585" s="11">
        <v>0.11346255897250791</v>
      </c>
    </row>
    <row r="586" spans="1:5" ht="24.75">
      <c r="A586" s="11" t="s">
        <v>363</v>
      </c>
      <c r="B586" s="11" t="s">
        <v>233</v>
      </c>
      <c r="C586" s="11" t="s">
        <v>295</v>
      </c>
      <c r="D586" s="11" t="s">
        <v>1480</v>
      </c>
      <c r="E586" s="11">
        <v>0.11346255897251044</v>
      </c>
    </row>
    <row r="587" spans="1:5" ht="24.75">
      <c r="A587" s="11" t="s">
        <v>363</v>
      </c>
      <c r="B587" s="11" t="s">
        <v>233</v>
      </c>
      <c r="C587" s="11" t="s">
        <v>295</v>
      </c>
      <c r="D587" s="11" t="s">
        <v>1481</v>
      </c>
      <c r="E587" s="11">
        <v>0.11346256081216559</v>
      </c>
    </row>
    <row r="588" spans="1:5" ht="24.75">
      <c r="A588" s="11" t="s">
        <v>363</v>
      </c>
      <c r="B588" s="11" t="s">
        <v>233</v>
      </c>
      <c r="C588" s="11" t="s">
        <v>295</v>
      </c>
      <c r="D588" s="11" t="s">
        <v>1482</v>
      </c>
      <c r="E588" s="11">
        <v>0.11346255897727184</v>
      </c>
    </row>
    <row r="589" spans="1:5" ht="24.75">
      <c r="A589" s="11" t="s">
        <v>363</v>
      </c>
      <c r="B589" s="11" t="s">
        <v>233</v>
      </c>
      <c r="C589" s="11" t="s">
        <v>295</v>
      </c>
      <c r="D589" s="11" t="s">
        <v>1483</v>
      </c>
      <c r="E589" s="11">
        <v>6.3467094781837208E-2</v>
      </c>
    </row>
    <row r="590" spans="1:5" ht="24.75">
      <c r="A590" s="11" t="s">
        <v>363</v>
      </c>
      <c r="B590" s="11" t="s">
        <v>233</v>
      </c>
      <c r="C590" s="11" t="s">
        <v>295</v>
      </c>
      <c r="D590" s="11" t="s">
        <v>1484</v>
      </c>
      <c r="E590" s="11">
        <v>0.24542249985398196</v>
      </c>
    </row>
    <row r="591" spans="1:5" ht="24.75">
      <c r="A591" s="11" t="s">
        <v>363</v>
      </c>
      <c r="B591" s="11" t="s">
        <v>233</v>
      </c>
      <c r="C591" s="11" t="s">
        <v>295</v>
      </c>
      <c r="D591" s="11" t="s">
        <v>1485</v>
      </c>
      <c r="E591" s="11">
        <v>0.24603749590140866</v>
      </c>
    </row>
    <row r="592" spans="1:5" ht="24.75">
      <c r="A592" s="11" t="s">
        <v>363</v>
      </c>
      <c r="B592" s="11" t="s">
        <v>233</v>
      </c>
      <c r="C592" s="11" t="s">
        <v>295</v>
      </c>
      <c r="D592" s="11" t="s">
        <v>1486</v>
      </c>
      <c r="E592" s="11">
        <v>0.24603749624974347</v>
      </c>
    </row>
    <row r="593" spans="1:5" ht="24.75">
      <c r="A593" s="11" t="s">
        <v>363</v>
      </c>
      <c r="B593" s="11" t="s">
        <v>233</v>
      </c>
      <c r="C593" s="11" t="s">
        <v>295</v>
      </c>
      <c r="D593" s="11" t="s">
        <v>1487</v>
      </c>
      <c r="E593" s="11">
        <v>0.23969090474812818</v>
      </c>
    </row>
    <row r="594" spans="1:5" ht="24.75">
      <c r="A594" s="11" t="s">
        <v>363</v>
      </c>
      <c r="B594" s="11" t="s">
        <v>233</v>
      </c>
      <c r="C594" s="11" t="s">
        <v>295</v>
      </c>
      <c r="D594" s="11" t="s">
        <v>1488</v>
      </c>
      <c r="E594" s="11">
        <v>6.3460362621792124E-2</v>
      </c>
    </row>
    <row r="595" spans="1:5" ht="24.75">
      <c r="A595" s="11" t="s">
        <v>363</v>
      </c>
      <c r="B595" s="11" t="s">
        <v>233</v>
      </c>
      <c r="C595" s="11" t="s">
        <v>295</v>
      </c>
      <c r="D595" s="11" t="s">
        <v>1489</v>
      </c>
      <c r="E595" s="11">
        <v>6.3460381505653335E-2</v>
      </c>
    </row>
    <row r="596" spans="1:5" ht="24.75">
      <c r="A596" s="11" t="s">
        <v>363</v>
      </c>
      <c r="B596" s="11" t="s">
        <v>233</v>
      </c>
      <c r="C596" s="11" t="s">
        <v>295</v>
      </c>
      <c r="D596" s="11" t="s">
        <v>1490</v>
      </c>
      <c r="E596" s="11">
        <v>6.3460382000952387E-2</v>
      </c>
    </row>
    <row r="597" spans="1:5" ht="24.75">
      <c r="A597" s="11" t="s">
        <v>363</v>
      </c>
      <c r="B597" s="11" t="s">
        <v>233</v>
      </c>
      <c r="C597" s="11" t="s">
        <v>295</v>
      </c>
      <c r="D597" s="11" t="s">
        <v>1491</v>
      </c>
      <c r="E597" s="11">
        <v>0.24603750174840844</v>
      </c>
    </row>
    <row r="598" spans="1:5" ht="24.75">
      <c r="A598" s="11" t="s">
        <v>363</v>
      </c>
      <c r="B598" s="11" t="s">
        <v>233</v>
      </c>
      <c r="C598" s="11" t="s">
        <v>295</v>
      </c>
      <c r="D598" s="11" t="s">
        <v>1492</v>
      </c>
      <c r="E598" s="11">
        <v>0.24615817318749347</v>
      </c>
    </row>
    <row r="599" spans="1:5" ht="24.75">
      <c r="A599" s="11" t="s">
        <v>363</v>
      </c>
      <c r="B599" s="11" t="s">
        <v>233</v>
      </c>
      <c r="C599" s="11" t="s">
        <v>295</v>
      </c>
      <c r="D599" s="11" t="s">
        <v>1493</v>
      </c>
      <c r="E599" s="11">
        <v>0.23998098717187125</v>
      </c>
    </row>
    <row r="600" spans="1:5" ht="24.75">
      <c r="A600" s="11" t="s">
        <v>363</v>
      </c>
      <c r="B600" s="11" t="s">
        <v>233</v>
      </c>
      <c r="C600" s="11" t="s">
        <v>295</v>
      </c>
      <c r="D600" s="11" t="s">
        <v>1494</v>
      </c>
      <c r="E600" s="11">
        <v>4.3213978269512641</v>
      </c>
    </row>
    <row r="601" spans="1:5" ht="24.75">
      <c r="A601" s="11" t="s">
        <v>363</v>
      </c>
      <c r="B601" s="11" t="s">
        <v>233</v>
      </c>
      <c r="C601" s="11" t="s">
        <v>295</v>
      </c>
      <c r="D601" s="11" t="s">
        <v>1495</v>
      </c>
      <c r="E601" s="11">
        <v>0.21800999999999932</v>
      </c>
    </row>
    <row r="602" spans="1:5" ht="24.75">
      <c r="A602" s="11" t="s">
        <v>363</v>
      </c>
      <c r="B602" s="11" t="s">
        <v>233</v>
      </c>
      <c r="C602" s="11" t="s">
        <v>295</v>
      </c>
      <c r="D602" s="11" t="s">
        <v>1496</v>
      </c>
      <c r="E602" s="11">
        <v>1.8488849384000157</v>
      </c>
    </row>
    <row r="603" spans="1:5" ht="24.75">
      <c r="A603" s="11" t="s">
        <v>363</v>
      </c>
      <c r="B603" s="11" t="s">
        <v>233</v>
      </c>
      <c r="C603" s="11" t="s">
        <v>295</v>
      </c>
      <c r="D603" s="11" t="s">
        <v>1497</v>
      </c>
      <c r="E603" s="11">
        <v>3.2073911152140068E-2</v>
      </c>
    </row>
    <row r="604" spans="1:5" ht="24.75">
      <c r="A604" s="11" t="s">
        <v>363</v>
      </c>
      <c r="B604" s="11" t="s">
        <v>233</v>
      </c>
      <c r="C604" s="11" t="s">
        <v>295</v>
      </c>
      <c r="D604" s="11" t="s">
        <v>1498</v>
      </c>
      <c r="E604" s="11">
        <v>0.74800998112898598</v>
      </c>
    </row>
    <row r="605" spans="1:5" ht="24.75">
      <c r="A605" s="11" t="s">
        <v>363</v>
      </c>
      <c r="B605" s="11" t="s">
        <v>233</v>
      </c>
      <c r="C605" s="11" t="s">
        <v>295</v>
      </c>
      <c r="D605" s="11" t="s">
        <v>1499</v>
      </c>
      <c r="E605" s="11">
        <v>4.4682471913839734E-2</v>
      </c>
    </row>
    <row r="606" spans="1:5" ht="24.75">
      <c r="A606" s="11" t="s">
        <v>363</v>
      </c>
      <c r="B606" s="11" t="s">
        <v>233</v>
      </c>
      <c r="C606" s="11" t="s">
        <v>295</v>
      </c>
      <c r="D606" s="11" t="s">
        <v>1500</v>
      </c>
      <c r="E606" s="11">
        <v>0.54946520707843649</v>
      </c>
    </row>
    <row r="607" spans="1:5" ht="24.75">
      <c r="A607" s="11" t="s">
        <v>363</v>
      </c>
      <c r="B607" s="11" t="s">
        <v>233</v>
      </c>
      <c r="C607" s="11" t="s">
        <v>295</v>
      </c>
      <c r="D607" s="11" t="s">
        <v>1501</v>
      </c>
      <c r="E607" s="11">
        <v>1.5313750000000159</v>
      </c>
    </row>
    <row r="608" spans="1:5" ht="24.75">
      <c r="A608" s="11" t="s">
        <v>363</v>
      </c>
      <c r="B608" s="11" t="s">
        <v>233</v>
      </c>
      <c r="C608" s="11" t="s">
        <v>295</v>
      </c>
      <c r="D608" s="11" t="s">
        <v>1502</v>
      </c>
      <c r="E608" s="11">
        <v>1.2470100000000004</v>
      </c>
    </row>
    <row r="609" spans="1:5" ht="24.75">
      <c r="A609" s="11" t="s">
        <v>363</v>
      </c>
      <c r="B609" s="11" t="s">
        <v>233</v>
      </c>
      <c r="C609" s="11" t="s">
        <v>295</v>
      </c>
      <c r="D609" s="11" t="s">
        <v>1503</v>
      </c>
      <c r="E609" s="11">
        <v>1.2786000000000002</v>
      </c>
    </row>
    <row r="610" spans="1:5" ht="24.75">
      <c r="A610" s="11" t="s">
        <v>363</v>
      </c>
      <c r="B610" s="11" t="s">
        <v>233</v>
      </c>
      <c r="C610" s="11" t="s">
        <v>295</v>
      </c>
      <c r="D610" s="11" t="s">
        <v>1504</v>
      </c>
      <c r="E610" s="11">
        <v>0.12886101442499812</v>
      </c>
    </row>
    <row r="611" spans="1:5" ht="24.75">
      <c r="A611" s="11" t="s">
        <v>363</v>
      </c>
      <c r="B611" s="11" t="s">
        <v>233</v>
      </c>
      <c r="C611" s="11" t="s">
        <v>295</v>
      </c>
      <c r="D611" s="11" t="s">
        <v>1505</v>
      </c>
      <c r="E611" s="11">
        <v>0.68419999999999725</v>
      </c>
    </row>
    <row r="612" spans="1:5" ht="24.75">
      <c r="A612" s="11" t="s">
        <v>363</v>
      </c>
      <c r="B612" s="11" t="s">
        <v>233</v>
      </c>
      <c r="C612" s="11" t="s">
        <v>295</v>
      </c>
      <c r="D612" s="11" t="s">
        <v>1506</v>
      </c>
      <c r="E612" s="11">
        <v>3.8156048401623191E-2</v>
      </c>
    </row>
    <row r="613" spans="1:5" ht="24.75">
      <c r="A613" s="11" t="s">
        <v>363</v>
      </c>
      <c r="B613" s="11" t="s">
        <v>233</v>
      </c>
      <c r="C613" s="11" t="s">
        <v>295</v>
      </c>
      <c r="D613" s="11" t="s">
        <v>1507</v>
      </c>
      <c r="E613" s="11">
        <v>0.46575079513658052</v>
      </c>
    </row>
    <row r="614" spans="1:5" ht="24.75">
      <c r="A614" s="11" t="s">
        <v>363</v>
      </c>
      <c r="B614" s="11" t="s">
        <v>233</v>
      </c>
      <c r="C614" s="11" t="s">
        <v>295</v>
      </c>
      <c r="D614" s="11" t="s">
        <v>1508</v>
      </c>
      <c r="E614" s="11">
        <v>4.0772993051324945E-2</v>
      </c>
    </row>
    <row r="615" spans="1:5" ht="24.75">
      <c r="A615" s="11" t="s">
        <v>363</v>
      </c>
      <c r="B615" s="11" t="s">
        <v>233</v>
      </c>
      <c r="C615" s="11" t="s">
        <v>295</v>
      </c>
      <c r="D615" s="11" t="s">
        <v>1509</v>
      </c>
      <c r="E615" s="11">
        <v>0.53366681976444852</v>
      </c>
    </row>
    <row r="616" spans="1:5">
      <c r="A616" s="1" t="s">
        <v>207</v>
      </c>
      <c r="B616" s="1" t="s">
        <v>207</v>
      </c>
      <c r="C616" s="1">
        <f>SUBTOTAL(103,Elements132201[Elemento])</f>
        <v>609</v>
      </c>
      <c r="D616" s="1" t="s">
        <v>207</v>
      </c>
      <c r="E616" s="1">
        <f>SUBTOTAL(109,Elements132201[Totais:])</f>
        <v>889.13894449014026</v>
      </c>
    </row>
  </sheetData>
  <mergeCells count="3">
    <mergeCell ref="A1:E2"/>
    <mergeCell ref="A4:E4"/>
    <mergeCell ref="A5:E5"/>
  </mergeCells>
  <hyperlinks>
    <hyperlink ref="A1" location="'13.2.20'!A1" display="TUBO DE PVC RIGIDO SOLDAVEL,PARA AGUA FRIA, COM DIAMETRO DE 25MM.FORNECIMENTO" xr:uid="{00000000-0004-0000-4700-000000000000}"/>
    <hyperlink ref="B1" location="'13.2.20'!A1" display="TUBO DE PVC RIGIDO SOLDAVEL,PARA AGUA FRIA, COM DIAMETRO DE 25MM.FORNECIMENTO" xr:uid="{00000000-0004-0000-4700-000001000000}"/>
    <hyperlink ref="C1" location="'13.2.20'!A1" display="TUBO DE PVC RIGIDO SOLDAVEL,PARA AGUA FRIA, COM DIAMETRO DE 25MM.FORNECIMENTO" xr:uid="{00000000-0004-0000-4700-000002000000}"/>
    <hyperlink ref="D1" location="'13.2.20'!A1" display="TUBO DE PVC RIGIDO SOLDAVEL,PARA AGUA FRIA, COM DIAMETRO DE 25MM.FORNECIMENTO" xr:uid="{00000000-0004-0000-4700-000003000000}"/>
    <hyperlink ref="E1" location="'13.2.20'!A1" display="TUBO DE PVC RIGIDO SOLDAVEL,PARA AGUA FRIA, COM DIAMETRO DE 25MM.FORNECIMENTO" xr:uid="{00000000-0004-0000-4700-000004000000}"/>
    <hyperlink ref="A2" location="'13.2.20'!A1" display="TUBO DE PVC RIGIDO SOLDAVEL,PARA AGUA FRIA, COM DIAMETRO DE 25MM.FORNECIMENTO" xr:uid="{00000000-0004-0000-4700-000005000000}"/>
    <hyperlink ref="B2" location="'13.2.20'!A1" display="TUBO DE PVC RIGIDO SOLDAVEL,PARA AGUA FRIA, COM DIAMETRO DE 25MM.FORNECIMENTO" xr:uid="{00000000-0004-0000-4700-000006000000}"/>
    <hyperlink ref="C2" location="'13.2.20'!A1" display="TUBO DE PVC RIGIDO SOLDAVEL,PARA AGUA FRIA, COM DIAMETRO DE 25MM.FORNECIMENTO" xr:uid="{00000000-0004-0000-4700-000007000000}"/>
    <hyperlink ref="D2" location="'13.2.20'!A1" display="TUBO DE PVC RIGIDO SOLDAVEL,PARA AGUA FRIA, COM DIAMETRO DE 25MM.FORNECIMENTO" xr:uid="{00000000-0004-0000-4700-000008000000}"/>
    <hyperlink ref="E2" location="'13.2.20'!A1" display="TUBO DE PVC RIGIDO SOLDAVEL,PARA AGUA FRIA, COM DIAMETRO DE 25MM.FORNECIMENTO" xr:uid="{00000000-0004-0000-4700-000009000000}"/>
    <hyperlink ref="A4" location="'13.2.20'!A1" display="Tubulação" xr:uid="{00000000-0004-0000-4700-00000A000000}"/>
    <hyperlink ref="B4" location="'13.2.20'!A1" display="Tubulação" xr:uid="{00000000-0004-0000-4700-00000B000000}"/>
    <hyperlink ref="C4" location="'13.2.20'!A1" display="Tubulação" xr:uid="{00000000-0004-0000-4700-00000C000000}"/>
    <hyperlink ref="D4" location="'13.2.20'!A1" display="Tubulação" xr:uid="{00000000-0004-0000-4700-00000D000000}"/>
    <hyperlink ref="E4" location="'13.2.20'!A1" display="Tubulação" xr:uid="{00000000-0004-0000-4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dimension ref="A1:E1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95</v>
      </c>
      <c r="B1" s="23" t="s">
        <v>95</v>
      </c>
      <c r="C1" s="23" t="s">
        <v>95</v>
      </c>
      <c r="D1" s="23" t="s">
        <v>95</v>
      </c>
      <c r="E1" s="23" t="s">
        <v>95</v>
      </c>
    </row>
    <row r="2" spans="1:5">
      <c r="A2" s="23" t="s">
        <v>95</v>
      </c>
      <c r="B2" s="23" t="s">
        <v>95</v>
      </c>
      <c r="C2" s="23" t="s">
        <v>95</v>
      </c>
      <c r="D2" s="23" t="s">
        <v>95</v>
      </c>
      <c r="E2" s="23" t="s">
        <v>95</v>
      </c>
    </row>
    <row r="4" spans="1:5">
      <c r="A4" s="18" t="s">
        <v>288</v>
      </c>
      <c r="B4" s="18" t="s">
        <v>288</v>
      </c>
      <c r="C4" s="18" t="s">
        <v>288</v>
      </c>
      <c r="D4" s="18" t="s">
        <v>288</v>
      </c>
      <c r="E4" s="18" t="s">
        <v>288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295</v>
      </c>
      <c r="D7" s="11" t="s">
        <v>1510</v>
      </c>
      <c r="E7" s="11">
        <v>6.3130486068606606E-2</v>
      </c>
    </row>
    <row r="8" spans="1:5" ht="24.75">
      <c r="A8" s="11" t="s">
        <v>363</v>
      </c>
      <c r="B8" s="11" t="s">
        <v>233</v>
      </c>
      <c r="C8" s="11" t="s">
        <v>295</v>
      </c>
      <c r="D8" s="11" t="s">
        <v>1511</v>
      </c>
      <c r="E8" s="11">
        <v>6.312002711221025E-2</v>
      </c>
    </row>
    <row r="9" spans="1:5" ht="24.75">
      <c r="A9" s="11" t="s">
        <v>363</v>
      </c>
      <c r="B9" s="11" t="s">
        <v>233</v>
      </c>
      <c r="C9" s="11" t="s">
        <v>295</v>
      </c>
      <c r="D9" s="11" t="s">
        <v>1512</v>
      </c>
      <c r="E9" s="11">
        <v>6.3130486068606606E-2</v>
      </c>
    </row>
    <row r="10" spans="1:5" ht="24.75">
      <c r="A10" s="11" t="s">
        <v>363</v>
      </c>
      <c r="B10" s="11" t="s">
        <v>233</v>
      </c>
      <c r="C10" s="11" t="s">
        <v>295</v>
      </c>
      <c r="D10" s="11" t="s">
        <v>1513</v>
      </c>
      <c r="E10" s="11">
        <v>6.3132301373890323E-2</v>
      </c>
    </row>
    <row r="11" spans="1:5" ht="24.75">
      <c r="A11" s="11" t="s">
        <v>363</v>
      </c>
      <c r="B11" s="11" t="s">
        <v>233</v>
      </c>
      <c r="C11" s="11" t="s">
        <v>295</v>
      </c>
      <c r="D11" s="11" t="s">
        <v>1514</v>
      </c>
      <c r="E11" s="11">
        <v>6.6709841287239835E-2</v>
      </c>
    </row>
    <row r="12" spans="1:5" ht="24.75">
      <c r="A12" s="11" t="s">
        <v>363</v>
      </c>
      <c r="B12" s="11" t="s">
        <v>233</v>
      </c>
      <c r="C12" s="11" t="s">
        <v>295</v>
      </c>
      <c r="D12" s="11" t="s">
        <v>1515</v>
      </c>
      <c r="E12" s="11">
        <v>6.3132301373890323E-2</v>
      </c>
    </row>
    <row r="13" spans="1:5" ht="24.75">
      <c r="A13" s="11" t="s">
        <v>363</v>
      </c>
      <c r="B13" s="11" t="s">
        <v>233</v>
      </c>
      <c r="C13" s="11" t="s">
        <v>295</v>
      </c>
      <c r="D13" s="11" t="s">
        <v>1516</v>
      </c>
      <c r="E13" s="11">
        <v>6.3130486068606606E-2</v>
      </c>
    </row>
    <row r="14" spans="1:5" ht="24.75">
      <c r="A14" s="11" t="s">
        <v>363</v>
      </c>
      <c r="B14" s="11" t="s">
        <v>233</v>
      </c>
      <c r="C14" s="11" t="s">
        <v>295</v>
      </c>
      <c r="D14" s="11" t="s">
        <v>1517</v>
      </c>
      <c r="E14" s="11">
        <v>6.3132301373890323E-2</v>
      </c>
    </row>
    <row r="15" spans="1:5">
      <c r="A15" s="1" t="s">
        <v>207</v>
      </c>
      <c r="B15" s="1" t="s">
        <v>207</v>
      </c>
      <c r="C15" s="1">
        <f>SUBTOTAL(103,Elements132211[Elemento])</f>
        <v>8</v>
      </c>
      <c r="D15" s="1" t="s">
        <v>207</v>
      </c>
      <c r="E15" s="1">
        <f>SUBTOTAL(109,Elements132211[Totais:])</f>
        <v>0.5086182307269409</v>
      </c>
    </row>
  </sheetData>
  <mergeCells count="3">
    <mergeCell ref="A1:E2"/>
    <mergeCell ref="A4:E4"/>
    <mergeCell ref="A5:E5"/>
  </mergeCells>
  <hyperlinks>
    <hyperlink ref="A1" location="'13.2.21'!A1" display="TUBO DE PVC RIGIDO SOLDAVEL,PARA AGUA FRIA, COM DIAMETRO DE 32MM.FORNECIMENTO" xr:uid="{00000000-0004-0000-4800-000000000000}"/>
    <hyperlink ref="B1" location="'13.2.21'!A1" display="TUBO DE PVC RIGIDO SOLDAVEL,PARA AGUA FRIA, COM DIAMETRO DE 32MM.FORNECIMENTO" xr:uid="{00000000-0004-0000-4800-000001000000}"/>
    <hyperlink ref="C1" location="'13.2.21'!A1" display="TUBO DE PVC RIGIDO SOLDAVEL,PARA AGUA FRIA, COM DIAMETRO DE 32MM.FORNECIMENTO" xr:uid="{00000000-0004-0000-4800-000002000000}"/>
    <hyperlink ref="D1" location="'13.2.21'!A1" display="TUBO DE PVC RIGIDO SOLDAVEL,PARA AGUA FRIA, COM DIAMETRO DE 32MM.FORNECIMENTO" xr:uid="{00000000-0004-0000-4800-000003000000}"/>
    <hyperlink ref="E1" location="'13.2.21'!A1" display="TUBO DE PVC RIGIDO SOLDAVEL,PARA AGUA FRIA, COM DIAMETRO DE 32MM.FORNECIMENTO" xr:uid="{00000000-0004-0000-4800-000004000000}"/>
    <hyperlink ref="A2" location="'13.2.21'!A1" display="TUBO DE PVC RIGIDO SOLDAVEL,PARA AGUA FRIA, COM DIAMETRO DE 32MM.FORNECIMENTO" xr:uid="{00000000-0004-0000-4800-000005000000}"/>
    <hyperlink ref="B2" location="'13.2.21'!A1" display="TUBO DE PVC RIGIDO SOLDAVEL,PARA AGUA FRIA, COM DIAMETRO DE 32MM.FORNECIMENTO" xr:uid="{00000000-0004-0000-4800-000006000000}"/>
    <hyperlink ref="C2" location="'13.2.21'!A1" display="TUBO DE PVC RIGIDO SOLDAVEL,PARA AGUA FRIA, COM DIAMETRO DE 32MM.FORNECIMENTO" xr:uid="{00000000-0004-0000-4800-000007000000}"/>
    <hyperlink ref="D2" location="'13.2.21'!A1" display="TUBO DE PVC RIGIDO SOLDAVEL,PARA AGUA FRIA, COM DIAMETRO DE 32MM.FORNECIMENTO" xr:uid="{00000000-0004-0000-4800-000008000000}"/>
    <hyperlink ref="E2" location="'13.2.21'!A1" display="TUBO DE PVC RIGIDO SOLDAVEL,PARA AGUA FRIA, COM DIAMETRO DE 32MM.FORNECIMENTO" xr:uid="{00000000-0004-0000-4800-000009000000}"/>
    <hyperlink ref="A4" location="'13.2.21'!A1" display="Tubulação" xr:uid="{00000000-0004-0000-4800-00000A000000}"/>
    <hyperlink ref="B4" location="'13.2.21'!A1" display="Tubulação" xr:uid="{00000000-0004-0000-4800-00000B000000}"/>
    <hyperlink ref="C4" location="'13.2.21'!A1" display="Tubulação" xr:uid="{00000000-0004-0000-4800-00000C000000}"/>
    <hyperlink ref="D4" location="'13.2.21'!A1" display="Tubulação" xr:uid="{00000000-0004-0000-4800-00000D000000}"/>
    <hyperlink ref="E4" location="'13.2.21'!A1" display="Tubulação" xr:uid="{00000000-0004-0000-48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dimension ref="A1:E261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99</v>
      </c>
      <c r="B1" s="23" t="s">
        <v>99</v>
      </c>
      <c r="C1" s="23" t="s">
        <v>99</v>
      </c>
      <c r="D1" s="23" t="s">
        <v>99</v>
      </c>
      <c r="E1" s="23" t="s">
        <v>99</v>
      </c>
    </row>
    <row r="2" spans="1:5">
      <c r="A2" s="23" t="s">
        <v>99</v>
      </c>
      <c r="B2" s="23" t="s">
        <v>99</v>
      </c>
      <c r="C2" s="23" t="s">
        <v>99</v>
      </c>
      <c r="D2" s="23" t="s">
        <v>99</v>
      </c>
      <c r="E2" s="23" t="s">
        <v>99</v>
      </c>
    </row>
    <row r="4" spans="1:5">
      <c r="A4" s="18" t="s">
        <v>293</v>
      </c>
      <c r="B4" s="18" t="s">
        <v>293</v>
      </c>
      <c r="C4" s="18" t="s">
        <v>293</v>
      </c>
      <c r="D4" s="18" t="s">
        <v>293</v>
      </c>
      <c r="E4" s="18" t="s">
        <v>293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295</v>
      </c>
      <c r="D7" s="11" t="s">
        <v>1518</v>
      </c>
      <c r="E7" s="11">
        <v>0.50000000000000167</v>
      </c>
    </row>
    <row r="8" spans="1:5" ht="24.75">
      <c r="A8" s="11" t="s">
        <v>363</v>
      </c>
      <c r="B8" s="11" t="s">
        <v>233</v>
      </c>
      <c r="C8" s="11" t="s">
        <v>295</v>
      </c>
      <c r="D8" s="11" t="s">
        <v>1519</v>
      </c>
      <c r="E8" s="11">
        <v>1.7251171585144351</v>
      </c>
    </row>
    <row r="9" spans="1:5" ht="24.75">
      <c r="A9" s="11" t="s">
        <v>363</v>
      </c>
      <c r="B9" s="11" t="s">
        <v>233</v>
      </c>
      <c r="C9" s="11" t="s">
        <v>295</v>
      </c>
      <c r="D9" s="11" t="s">
        <v>1520</v>
      </c>
      <c r="E9" s="11">
        <v>3.9833501848073354</v>
      </c>
    </row>
    <row r="10" spans="1:5" ht="24.75">
      <c r="A10" s="11" t="s">
        <v>363</v>
      </c>
      <c r="B10" s="11" t="s">
        <v>233</v>
      </c>
      <c r="C10" s="11" t="s">
        <v>295</v>
      </c>
      <c r="D10" s="11" t="s">
        <v>1521</v>
      </c>
      <c r="E10" s="11">
        <v>0.91897272600503366</v>
      </c>
    </row>
    <row r="11" spans="1:5" ht="24.75">
      <c r="A11" s="11" t="s">
        <v>363</v>
      </c>
      <c r="B11" s="11" t="s">
        <v>233</v>
      </c>
      <c r="C11" s="11" t="s">
        <v>295</v>
      </c>
      <c r="D11" s="11" t="s">
        <v>1522</v>
      </c>
      <c r="E11" s="11">
        <v>4.2577827831447292</v>
      </c>
    </row>
    <row r="12" spans="1:5" ht="24.75">
      <c r="A12" s="11" t="s">
        <v>363</v>
      </c>
      <c r="B12" s="11" t="s">
        <v>233</v>
      </c>
      <c r="C12" s="11" t="s">
        <v>295</v>
      </c>
      <c r="D12" s="11" t="s">
        <v>1523</v>
      </c>
      <c r="E12" s="11">
        <v>1.1557942926770737</v>
      </c>
    </row>
    <row r="13" spans="1:5" ht="24.75">
      <c r="A13" s="11" t="s">
        <v>363</v>
      </c>
      <c r="B13" s="11" t="s">
        <v>233</v>
      </c>
      <c r="C13" s="11" t="s">
        <v>295</v>
      </c>
      <c r="D13" s="11" t="s">
        <v>1524</v>
      </c>
      <c r="E13" s="11">
        <v>5.2216269591851487</v>
      </c>
    </row>
    <row r="14" spans="1:5" ht="24.75">
      <c r="A14" s="11" t="s">
        <v>363</v>
      </c>
      <c r="B14" s="11" t="s">
        <v>233</v>
      </c>
      <c r="C14" s="11" t="s">
        <v>295</v>
      </c>
      <c r="D14" s="11" t="s">
        <v>1525</v>
      </c>
      <c r="E14" s="11">
        <v>0.37181605521619332</v>
      </c>
    </row>
    <row r="15" spans="1:5" ht="24.75">
      <c r="A15" s="11" t="s">
        <v>363</v>
      </c>
      <c r="B15" s="11" t="s">
        <v>233</v>
      </c>
      <c r="C15" s="11" t="s">
        <v>295</v>
      </c>
      <c r="D15" s="11" t="s">
        <v>1526</v>
      </c>
      <c r="E15" s="11">
        <v>1.2714228609019751</v>
      </c>
    </row>
    <row r="16" spans="1:5" ht="24.75">
      <c r="A16" s="11" t="s">
        <v>363</v>
      </c>
      <c r="B16" s="11" t="s">
        <v>233</v>
      </c>
      <c r="C16" s="11" t="s">
        <v>295</v>
      </c>
      <c r="D16" s="11" t="s">
        <v>1527</v>
      </c>
      <c r="E16" s="11">
        <v>1.3469228609043511</v>
      </c>
    </row>
    <row r="17" spans="1:5" ht="24.75">
      <c r="A17" s="11" t="s">
        <v>363</v>
      </c>
      <c r="B17" s="11" t="s">
        <v>233</v>
      </c>
      <c r="C17" s="11" t="s">
        <v>295</v>
      </c>
      <c r="D17" s="11" t="s">
        <v>1528</v>
      </c>
      <c r="E17" s="11">
        <v>1.715208524709912</v>
      </c>
    </row>
    <row r="18" spans="1:5" ht="24.75">
      <c r="A18" s="11" t="s">
        <v>363</v>
      </c>
      <c r="B18" s="11" t="s">
        <v>233</v>
      </c>
      <c r="C18" s="11" t="s">
        <v>295</v>
      </c>
      <c r="D18" s="11" t="s">
        <v>1529</v>
      </c>
      <c r="E18" s="11">
        <v>1.3524000000000556</v>
      </c>
    </row>
    <row r="19" spans="1:5" ht="24.75">
      <c r="A19" s="11" t="s">
        <v>363</v>
      </c>
      <c r="B19" s="11" t="s">
        <v>233</v>
      </c>
      <c r="C19" s="11" t="s">
        <v>295</v>
      </c>
      <c r="D19" s="11" t="s">
        <v>1530</v>
      </c>
      <c r="E19" s="11">
        <v>2.7691304885667596</v>
      </c>
    </row>
    <row r="20" spans="1:5" ht="24.75">
      <c r="A20" s="11" t="s">
        <v>363</v>
      </c>
      <c r="B20" s="11" t="s">
        <v>233</v>
      </c>
      <c r="C20" s="11" t="s">
        <v>295</v>
      </c>
      <c r="D20" s="11" t="s">
        <v>1531</v>
      </c>
      <c r="E20" s="11">
        <v>2.4802978400265498</v>
      </c>
    </row>
    <row r="21" spans="1:5" ht="24.75">
      <c r="A21" s="11" t="s">
        <v>363</v>
      </c>
      <c r="B21" s="11" t="s">
        <v>233</v>
      </c>
      <c r="C21" s="11" t="s">
        <v>295</v>
      </c>
      <c r="D21" s="11" t="s">
        <v>1532</v>
      </c>
      <c r="E21" s="11">
        <v>2.0556029351919891</v>
      </c>
    </row>
    <row r="22" spans="1:5" ht="24.75">
      <c r="A22" s="11" t="s">
        <v>363</v>
      </c>
      <c r="B22" s="11" t="s">
        <v>233</v>
      </c>
      <c r="C22" s="11" t="s">
        <v>295</v>
      </c>
      <c r="D22" s="11" t="s">
        <v>1533</v>
      </c>
      <c r="E22" s="11">
        <v>1.6695165261889773</v>
      </c>
    </row>
    <row r="23" spans="1:5" ht="24.75">
      <c r="A23" s="11" t="s">
        <v>363</v>
      </c>
      <c r="B23" s="11" t="s">
        <v>233</v>
      </c>
      <c r="C23" s="11" t="s">
        <v>295</v>
      </c>
      <c r="D23" s="11" t="s">
        <v>1534</v>
      </c>
      <c r="E23" s="11">
        <v>1.7582999999999978</v>
      </c>
    </row>
    <row r="24" spans="1:5" ht="24.75">
      <c r="A24" s="11" t="s">
        <v>363</v>
      </c>
      <c r="B24" s="11" t="s">
        <v>233</v>
      </c>
      <c r="C24" s="11" t="s">
        <v>295</v>
      </c>
      <c r="D24" s="11" t="s">
        <v>1535</v>
      </c>
      <c r="E24" s="11">
        <v>5.9882999999999988</v>
      </c>
    </row>
    <row r="25" spans="1:5" ht="24.75">
      <c r="A25" s="11" t="s">
        <v>363</v>
      </c>
      <c r="B25" s="11" t="s">
        <v>233</v>
      </c>
      <c r="C25" s="11" t="s">
        <v>295</v>
      </c>
      <c r="D25" s="11" t="s">
        <v>1536</v>
      </c>
      <c r="E25" s="11">
        <v>7.0814839957675195</v>
      </c>
    </row>
    <row r="26" spans="1:5" ht="24.75">
      <c r="A26" s="11" t="s">
        <v>363</v>
      </c>
      <c r="B26" s="11" t="s">
        <v>233</v>
      </c>
      <c r="C26" s="11" t="s">
        <v>295</v>
      </c>
      <c r="D26" s="11" t="s">
        <v>1537</v>
      </c>
      <c r="E26" s="11">
        <v>5.9883000000000006</v>
      </c>
    </row>
    <row r="27" spans="1:5" ht="24.75">
      <c r="A27" s="11" t="s">
        <v>363</v>
      </c>
      <c r="B27" s="11" t="s">
        <v>233</v>
      </c>
      <c r="C27" s="11" t="s">
        <v>295</v>
      </c>
      <c r="D27" s="11" t="s">
        <v>1538</v>
      </c>
      <c r="E27" s="11">
        <v>5.9882999999999829</v>
      </c>
    </row>
    <row r="28" spans="1:5" ht="24.75">
      <c r="A28" s="11" t="s">
        <v>363</v>
      </c>
      <c r="B28" s="11" t="s">
        <v>233</v>
      </c>
      <c r="C28" s="11" t="s">
        <v>295</v>
      </c>
      <c r="D28" s="11" t="s">
        <v>1539</v>
      </c>
      <c r="E28" s="11">
        <v>5.9633001848073324</v>
      </c>
    </row>
    <row r="29" spans="1:5" ht="24.75">
      <c r="A29" s="11" t="s">
        <v>363</v>
      </c>
      <c r="B29" s="11" t="s">
        <v>233</v>
      </c>
      <c r="C29" s="11" t="s">
        <v>295</v>
      </c>
      <c r="D29" s="11" t="s">
        <v>1540</v>
      </c>
      <c r="E29" s="11">
        <v>5.9883000000000051</v>
      </c>
    </row>
    <row r="30" spans="1:5" ht="24.75">
      <c r="A30" s="11" t="s">
        <v>363</v>
      </c>
      <c r="B30" s="11" t="s">
        <v>233</v>
      </c>
      <c r="C30" s="11" t="s">
        <v>295</v>
      </c>
      <c r="D30" s="11" t="s">
        <v>1541</v>
      </c>
      <c r="E30" s="11">
        <v>5.9882999999999988</v>
      </c>
    </row>
    <row r="31" spans="1:5" ht="24.75">
      <c r="A31" s="11" t="s">
        <v>363</v>
      </c>
      <c r="B31" s="11" t="s">
        <v>233</v>
      </c>
      <c r="C31" s="11" t="s">
        <v>295</v>
      </c>
      <c r="D31" s="11" t="s">
        <v>1542</v>
      </c>
      <c r="E31" s="11">
        <v>10.145722112601504</v>
      </c>
    </row>
    <row r="32" spans="1:5" ht="24.75">
      <c r="A32" s="11" t="s">
        <v>363</v>
      </c>
      <c r="B32" s="11" t="s">
        <v>233</v>
      </c>
      <c r="C32" s="11" t="s">
        <v>295</v>
      </c>
      <c r="D32" s="11" t="s">
        <v>1543</v>
      </c>
      <c r="E32" s="11">
        <v>5.9882999999999971</v>
      </c>
    </row>
    <row r="33" spans="1:5" ht="24.75">
      <c r="A33" s="11" t="s">
        <v>363</v>
      </c>
      <c r="B33" s="11" t="s">
        <v>233</v>
      </c>
      <c r="C33" s="11" t="s">
        <v>295</v>
      </c>
      <c r="D33" s="11" t="s">
        <v>1544</v>
      </c>
      <c r="E33" s="11">
        <v>5.988300000000006</v>
      </c>
    </row>
    <row r="34" spans="1:5" ht="24.75">
      <c r="A34" s="11" t="s">
        <v>363</v>
      </c>
      <c r="B34" s="11" t="s">
        <v>233</v>
      </c>
      <c r="C34" s="11" t="s">
        <v>295</v>
      </c>
      <c r="D34" s="11" t="s">
        <v>1545</v>
      </c>
      <c r="E34" s="11">
        <v>5.9882999999999988</v>
      </c>
    </row>
    <row r="35" spans="1:5" ht="24.75">
      <c r="A35" s="11" t="s">
        <v>363</v>
      </c>
      <c r="B35" s="11" t="s">
        <v>233</v>
      </c>
      <c r="C35" s="11" t="s">
        <v>295</v>
      </c>
      <c r="D35" s="11" t="s">
        <v>1546</v>
      </c>
      <c r="E35" s="11">
        <v>5.9883000000000024</v>
      </c>
    </row>
    <row r="36" spans="1:5" ht="24.75">
      <c r="A36" s="11" t="s">
        <v>363</v>
      </c>
      <c r="B36" s="11" t="s">
        <v>233</v>
      </c>
      <c r="C36" s="11" t="s">
        <v>295</v>
      </c>
      <c r="D36" s="11" t="s">
        <v>1547</v>
      </c>
      <c r="E36" s="11">
        <v>2.468300000000117</v>
      </c>
    </row>
    <row r="37" spans="1:5" ht="24.75">
      <c r="A37" s="11" t="s">
        <v>363</v>
      </c>
      <c r="B37" s="11" t="s">
        <v>233</v>
      </c>
      <c r="C37" s="11" t="s">
        <v>295</v>
      </c>
      <c r="D37" s="11" t="s">
        <v>1548</v>
      </c>
      <c r="E37" s="11">
        <v>1.928299999999971</v>
      </c>
    </row>
    <row r="38" spans="1:5" ht="24.75">
      <c r="A38" s="11" t="s">
        <v>363</v>
      </c>
      <c r="B38" s="11" t="s">
        <v>233</v>
      </c>
      <c r="C38" s="11" t="s">
        <v>295</v>
      </c>
      <c r="D38" s="11" t="s">
        <v>1549</v>
      </c>
      <c r="E38" s="11">
        <v>5.9882999999999971</v>
      </c>
    </row>
    <row r="39" spans="1:5" ht="24.75">
      <c r="A39" s="11" t="s">
        <v>363</v>
      </c>
      <c r="B39" s="11" t="s">
        <v>233</v>
      </c>
      <c r="C39" s="11" t="s">
        <v>295</v>
      </c>
      <c r="D39" s="11" t="s">
        <v>1550</v>
      </c>
      <c r="E39" s="11">
        <v>5.9882999999999988</v>
      </c>
    </row>
    <row r="40" spans="1:5" ht="24.75">
      <c r="A40" s="11" t="s">
        <v>363</v>
      </c>
      <c r="B40" s="11" t="s">
        <v>233</v>
      </c>
      <c r="C40" s="11" t="s">
        <v>295</v>
      </c>
      <c r="D40" s="11" t="s">
        <v>1551</v>
      </c>
      <c r="E40" s="11">
        <v>5.9882999999999802</v>
      </c>
    </row>
    <row r="41" spans="1:5" ht="24.75">
      <c r="A41" s="11" t="s">
        <v>363</v>
      </c>
      <c r="B41" s="11" t="s">
        <v>233</v>
      </c>
      <c r="C41" s="11" t="s">
        <v>295</v>
      </c>
      <c r="D41" s="11" t="s">
        <v>1552</v>
      </c>
      <c r="E41" s="11">
        <v>5.9882999999999971</v>
      </c>
    </row>
    <row r="42" spans="1:5" ht="24.75">
      <c r="A42" s="11" t="s">
        <v>363</v>
      </c>
      <c r="B42" s="11" t="s">
        <v>233</v>
      </c>
      <c r="C42" s="11" t="s">
        <v>295</v>
      </c>
      <c r="D42" s="11" t="s">
        <v>1553</v>
      </c>
      <c r="E42" s="11">
        <v>5.9882999999999971</v>
      </c>
    </row>
    <row r="43" spans="1:5" ht="24.75">
      <c r="A43" s="11" t="s">
        <v>363</v>
      </c>
      <c r="B43" s="11" t="s">
        <v>233</v>
      </c>
      <c r="C43" s="11" t="s">
        <v>295</v>
      </c>
      <c r="D43" s="11" t="s">
        <v>1554</v>
      </c>
      <c r="E43" s="11">
        <v>8.7546796606525423E-2</v>
      </c>
    </row>
    <row r="44" spans="1:5" ht="24.75">
      <c r="A44" s="11" t="s">
        <v>363</v>
      </c>
      <c r="B44" s="11" t="s">
        <v>233</v>
      </c>
      <c r="C44" s="11" t="s">
        <v>295</v>
      </c>
      <c r="D44" s="11" t="s">
        <v>1555</v>
      </c>
      <c r="E44" s="11">
        <v>8.5919197296306982E-2</v>
      </c>
    </row>
    <row r="45" spans="1:5" ht="24.75">
      <c r="A45" s="11" t="s">
        <v>363</v>
      </c>
      <c r="B45" s="11" t="s">
        <v>233</v>
      </c>
      <c r="C45" s="11" t="s">
        <v>295</v>
      </c>
      <c r="D45" s="11" t="s">
        <v>1556</v>
      </c>
      <c r="E45" s="11">
        <v>6.4550000000013014E-2</v>
      </c>
    </row>
    <row r="46" spans="1:5" ht="24.75">
      <c r="A46" s="11" t="s">
        <v>363</v>
      </c>
      <c r="B46" s="11" t="s">
        <v>233</v>
      </c>
      <c r="C46" s="11" t="s">
        <v>295</v>
      </c>
      <c r="D46" s="11" t="s">
        <v>1557</v>
      </c>
      <c r="E46" s="11">
        <v>8.4686796606567846E-2</v>
      </c>
    </row>
    <row r="47" spans="1:5" ht="24.75">
      <c r="A47" s="11" t="s">
        <v>363</v>
      </c>
      <c r="B47" s="11" t="s">
        <v>233</v>
      </c>
      <c r="C47" s="11" t="s">
        <v>295</v>
      </c>
      <c r="D47" s="11" t="s">
        <v>1558</v>
      </c>
      <c r="E47" s="11">
        <v>0.18066000000039151</v>
      </c>
    </row>
    <row r="48" spans="1:5" ht="24.75">
      <c r="A48" s="11" t="s">
        <v>363</v>
      </c>
      <c r="B48" s="11" t="s">
        <v>233</v>
      </c>
      <c r="C48" s="11" t="s">
        <v>295</v>
      </c>
      <c r="D48" s="11" t="s">
        <v>1559</v>
      </c>
      <c r="E48" s="11">
        <v>8.4686796606593229E-2</v>
      </c>
    </row>
    <row r="49" spans="1:5" ht="24.75">
      <c r="A49" s="11" t="s">
        <v>363</v>
      </c>
      <c r="B49" s="11" t="s">
        <v>233</v>
      </c>
      <c r="C49" s="11" t="s">
        <v>295</v>
      </c>
      <c r="D49" s="11" t="s">
        <v>1560</v>
      </c>
      <c r="E49" s="11">
        <v>6.1425000000001194E-2</v>
      </c>
    </row>
    <row r="50" spans="1:5" ht="24.75">
      <c r="A50" s="11" t="s">
        <v>363</v>
      </c>
      <c r="B50" s="11" t="s">
        <v>233</v>
      </c>
      <c r="C50" s="11" t="s">
        <v>295</v>
      </c>
      <c r="D50" s="11" t="s">
        <v>1561</v>
      </c>
      <c r="E50" s="11">
        <v>0.18066064477993485</v>
      </c>
    </row>
    <row r="51" spans="1:5" ht="24.75">
      <c r="A51" s="11" t="s">
        <v>363</v>
      </c>
      <c r="B51" s="11" t="s">
        <v>233</v>
      </c>
      <c r="C51" s="11" t="s">
        <v>295</v>
      </c>
      <c r="D51" s="11" t="s">
        <v>1562</v>
      </c>
      <c r="E51" s="11">
        <v>8.7125508698747856E-2</v>
      </c>
    </row>
    <row r="52" spans="1:5" ht="24.75">
      <c r="A52" s="11" t="s">
        <v>363</v>
      </c>
      <c r="B52" s="11" t="s">
        <v>233</v>
      </c>
      <c r="C52" s="11" t="s">
        <v>295</v>
      </c>
      <c r="D52" s="11" t="s">
        <v>1563</v>
      </c>
      <c r="E52" s="11">
        <v>1.6040292703192589</v>
      </c>
    </row>
    <row r="53" spans="1:5" ht="24.75">
      <c r="A53" s="11" t="s">
        <v>363</v>
      </c>
      <c r="B53" s="11" t="s">
        <v>233</v>
      </c>
      <c r="C53" s="11" t="s">
        <v>295</v>
      </c>
      <c r="D53" s="11" t="s">
        <v>1564</v>
      </c>
      <c r="E53" s="11">
        <v>2.3298748501898166E-2</v>
      </c>
    </row>
    <row r="54" spans="1:5" ht="24.75">
      <c r="A54" s="11" t="s">
        <v>363</v>
      </c>
      <c r="B54" s="11" t="s">
        <v>233</v>
      </c>
      <c r="C54" s="11" t="s">
        <v>295</v>
      </c>
      <c r="D54" s="11" t="s">
        <v>1565</v>
      </c>
      <c r="E54" s="11">
        <v>6.7950000000728178E-2</v>
      </c>
    </row>
    <row r="55" spans="1:5" ht="24.75">
      <c r="A55" s="11" t="s">
        <v>363</v>
      </c>
      <c r="B55" s="11" t="s">
        <v>233</v>
      </c>
      <c r="C55" s="11" t="s">
        <v>295</v>
      </c>
      <c r="D55" s="11" t="s">
        <v>1566</v>
      </c>
      <c r="E55" s="11">
        <v>3.176352936982399E-2</v>
      </c>
    </row>
    <row r="56" spans="1:5" ht="24.75">
      <c r="A56" s="11" t="s">
        <v>363</v>
      </c>
      <c r="B56" s="11" t="s">
        <v>233</v>
      </c>
      <c r="C56" s="11" t="s">
        <v>295</v>
      </c>
      <c r="D56" s="11" t="s">
        <v>1567</v>
      </c>
      <c r="E56" s="11">
        <v>0.16806666827071515</v>
      </c>
    </row>
    <row r="57" spans="1:5" ht="24.75">
      <c r="A57" s="11" t="s">
        <v>363</v>
      </c>
      <c r="B57" s="11" t="s">
        <v>233</v>
      </c>
      <c r="C57" s="11" t="s">
        <v>295</v>
      </c>
      <c r="D57" s="11" t="s">
        <v>1568</v>
      </c>
      <c r="E57" s="11">
        <v>8.2857189799592834E-2</v>
      </c>
    </row>
    <row r="58" spans="1:5" ht="24.75">
      <c r="A58" s="11" t="s">
        <v>363</v>
      </c>
      <c r="B58" s="11" t="s">
        <v>233</v>
      </c>
      <c r="C58" s="11" t="s">
        <v>295</v>
      </c>
      <c r="D58" s="11" t="s">
        <v>1569</v>
      </c>
      <c r="E58" s="11">
        <v>6.455000000000187E-2</v>
      </c>
    </row>
    <row r="59" spans="1:5" ht="24.75">
      <c r="A59" s="11" t="s">
        <v>363</v>
      </c>
      <c r="B59" s="11" t="s">
        <v>233</v>
      </c>
      <c r="C59" s="11" t="s">
        <v>295</v>
      </c>
      <c r="D59" s="11" t="s">
        <v>1570</v>
      </c>
      <c r="E59" s="11">
        <v>8.7899999913297652E-2</v>
      </c>
    </row>
    <row r="60" spans="1:5" ht="24.75">
      <c r="A60" s="11" t="s">
        <v>363</v>
      </c>
      <c r="B60" s="11" t="s">
        <v>233</v>
      </c>
      <c r="C60" s="11" t="s">
        <v>295</v>
      </c>
      <c r="D60" s="11" t="s">
        <v>1571</v>
      </c>
      <c r="E60" s="11">
        <v>8.7899999999734454E-2</v>
      </c>
    </row>
    <row r="61" spans="1:5" ht="24.75">
      <c r="A61" s="11" t="s">
        <v>363</v>
      </c>
      <c r="B61" s="11" t="s">
        <v>233</v>
      </c>
      <c r="C61" s="11" t="s">
        <v>295</v>
      </c>
      <c r="D61" s="11" t="s">
        <v>1572</v>
      </c>
      <c r="E61" s="11">
        <v>0.18065999999961935</v>
      </c>
    </row>
    <row r="62" spans="1:5" ht="24.75">
      <c r="A62" s="11" t="s">
        <v>363</v>
      </c>
      <c r="B62" s="11" t="s">
        <v>233</v>
      </c>
      <c r="C62" s="11" t="s">
        <v>295</v>
      </c>
      <c r="D62" s="11" t="s">
        <v>1573</v>
      </c>
      <c r="E62" s="11">
        <v>2.3422857579836219E-2</v>
      </c>
    </row>
    <row r="63" spans="1:5" ht="24.75">
      <c r="A63" s="11" t="s">
        <v>363</v>
      </c>
      <c r="B63" s="11" t="s">
        <v>233</v>
      </c>
      <c r="C63" s="11" t="s">
        <v>295</v>
      </c>
      <c r="D63" s="11" t="s">
        <v>1574</v>
      </c>
      <c r="E63" s="11">
        <v>6.3749999999999987E-2</v>
      </c>
    </row>
    <row r="64" spans="1:5" ht="24.75">
      <c r="A64" s="11" t="s">
        <v>363</v>
      </c>
      <c r="B64" s="11" t="s">
        <v>233</v>
      </c>
      <c r="C64" s="11" t="s">
        <v>295</v>
      </c>
      <c r="D64" s="11" t="s">
        <v>1575</v>
      </c>
      <c r="E64" s="11">
        <v>6.3300000000000217E-2</v>
      </c>
    </row>
    <row r="65" spans="1:5" ht="24.75">
      <c r="A65" s="11" t="s">
        <v>363</v>
      </c>
      <c r="B65" s="11" t="s">
        <v>233</v>
      </c>
      <c r="C65" s="11" t="s">
        <v>295</v>
      </c>
      <c r="D65" s="11" t="s">
        <v>1576</v>
      </c>
      <c r="E65" s="11">
        <v>6.3299999999633316E-2</v>
      </c>
    </row>
    <row r="66" spans="1:5" ht="24.75">
      <c r="A66" s="11" t="s">
        <v>363</v>
      </c>
      <c r="B66" s="11" t="s">
        <v>233</v>
      </c>
      <c r="C66" s="11" t="s">
        <v>295</v>
      </c>
      <c r="D66" s="11" t="s">
        <v>1577</v>
      </c>
      <c r="E66" s="11">
        <v>6.330009249222579E-2</v>
      </c>
    </row>
    <row r="67" spans="1:5" ht="24.75">
      <c r="A67" s="11" t="s">
        <v>363</v>
      </c>
      <c r="B67" s="11" t="s">
        <v>233</v>
      </c>
      <c r="C67" s="11" t="s">
        <v>295</v>
      </c>
      <c r="D67" s="11" t="s">
        <v>1578</v>
      </c>
      <c r="E67" s="11">
        <v>6.329999999999919E-2</v>
      </c>
    </row>
    <row r="68" spans="1:5" ht="24.75">
      <c r="A68" s="11" t="s">
        <v>363</v>
      </c>
      <c r="B68" s="11" t="s">
        <v>233</v>
      </c>
      <c r="C68" s="11" t="s">
        <v>295</v>
      </c>
      <c r="D68" s="11" t="s">
        <v>1579</v>
      </c>
      <c r="E68" s="11">
        <v>6.3300000021871888E-2</v>
      </c>
    </row>
    <row r="69" spans="1:5" ht="24.75">
      <c r="A69" s="11" t="s">
        <v>363</v>
      </c>
      <c r="B69" s="11" t="s">
        <v>233</v>
      </c>
      <c r="C69" s="11" t="s">
        <v>295</v>
      </c>
      <c r="D69" s="11" t="s">
        <v>1580</v>
      </c>
      <c r="E69" s="11">
        <v>6.3325535612462319E-2</v>
      </c>
    </row>
    <row r="70" spans="1:5" ht="24.75">
      <c r="A70" s="11" t="s">
        <v>363</v>
      </c>
      <c r="B70" s="11" t="s">
        <v>233</v>
      </c>
      <c r="C70" s="11" t="s">
        <v>295</v>
      </c>
      <c r="D70" s="11" t="s">
        <v>1581</v>
      </c>
      <c r="E70" s="11">
        <v>8.5838712134662667E-2</v>
      </c>
    </row>
    <row r="71" spans="1:5" ht="24.75">
      <c r="A71" s="11" t="s">
        <v>363</v>
      </c>
      <c r="B71" s="11" t="s">
        <v>233</v>
      </c>
      <c r="C71" s="11" t="s">
        <v>295</v>
      </c>
      <c r="D71" s="11" t="s">
        <v>1582</v>
      </c>
      <c r="E71" s="11">
        <v>8.132182010100493E-2</v>
      </c>
    </row>
    <row r="72" spans="1:5" ht="24.75">
      <c r="A72" s="11" t="s">
        <v>363</v>
      </c>
      <c r="B72" s="11" t="s">
        <v>233</v>
      </c>
      <c r="C72" s="11" t="s">
        <v>295</v>
      </c>
      <c r="D72" s="11" t="s">
        <v>1583</v>
      </c>
      <c r="E72" s="11">
        <v>0.18000000000000016</v>
      </c>
    </row>
    <row r="73" spans="1:5" ht="24.75">
      <c r="A73" s="11" t="s">
        <v>363</v>
      </c>
      <c r="B73" s="11" t="s">
        <v>233</v>
      </c>
      <c r="C73" s="11" t="s">
        <v>295</v>
      </c>
      <c r="D73" s="11" t="s">
        <v>1584</v>
      </c>
      <c r="E73" s="11">
        <v>8.2857905240207128E-2</v>
      </c>
    </row>
    <row r="74" spans="1:5" ht="24.75">
      <c r="A74" s="11" t="s">
        <v>363</v>
      </c>
      <c r="B74" s="11" t="s">
        <v>233</v>
      </c>
      <c r="C74" s="11" t="s">
        <v>295</v>
      </c>
      <c r="D74" s="11" t="s">
        <v>1585</v>
      </c>
      <c r="E74" s="11">
        <v>7.5662813807690646E-2</v>
      </c>
    </row>
    <row r="75" spans="1:5" ht="24.75">
      <c r="A75" s="11" t="s">
        <v>363</v>
      </c>
      <c r="B75" s="11" t="s">
        <v>233</v>
      </c>
      <c r="C75" s="11" t="s">
        <v>295</v>
      </c>
      <c r="D75" s="11" t="s">
        <v>1586</v>
      </c>
      <c r="E75" s="11">
        <v>0.18066331237723648</v>
      </c>
    </row>
    <row r="76" spans="1:5" ht="24.75">
      <c r="A76" s="11" t="s">
        <v>363</v>
      </c>
      <c r="B76" s="11" t="s">
        <v>233</v>
      </c>
      <c r="C76" s="11" t="s">
        <v>295</v>
      </c>
      <c r="D76" s="11" t="s">
        <v>1587</v>
      </c>
      <c r="E76" s="11">
        <v>6.5624999999999975E-2</v>
      </c>
    </row>
    <row r="77" spans="1:5" ht="24.75">
      <c r="A77" s="11" t="s">
        <v>363</v>
      </c>
      <c r="B77" s="11" t="s">
        <v>233</v>
      </c>
      <c r="C77" s="11" t="s">
        <v>295</v>
      </c>
      <c r="D77" s="11" t="s">
        <v>1588</v>
      </c>
      <c r="E77" s="11">
        <v>7.3751251498100884E-2</v>
      </c>
    </row>
    <row r="78" spans="1:5" ht="24.75">
      <c r="A78" s="11" t="s">
        <v>363</v>
      </c>
      <c r="B78" s="11" t="s">
        <v>233</v>
      </c>
      <c r="C78" s="11" t="s">
        <v>295</v>
      </c>
      <c r="D78" s="11" t="s">
        <v>1589</v>
      </c>
      <c r="E78" s="11">
        <v>7.3632504127520024E-2</v>
      </c>
    </row>
    <row r="79" spans="1:5" ht="24.75">
      <c r="A79" s="11" t="s">
        <v>363</v>
      </c>
      <c r="B79" s="11" t="s">
        <v>233</v>
      </c>
      <c r="C79" s="11" t="s">
        <v>295</v>
      </c>
      <c r="D79" s="11" t="s">
        <v>1590</v>
      </c>
      <c r="E79" s="11">
        <v>8.7546796606525423E-2</v>
      </c>
    </row>
    <row r="80" spans="1:5" ht="24.75">
      <c r="A80" s="11" t="s">
        <v>363</v>
      </c>
      <c r="B80" s="11" t="s">
        <v>233</v>
      </c>
      <c r="C80" s="11" t="s">
        <v>295</v>
      </c>
      <c r="D80" s="11" t="s">
        <v>1591</v>
      </c>
      <c r="E80" s="11">
        <v>8.5919197296306982E-2</v>
      </c>
    </row>
    <row r="81" spans="1:5" ht="24.75">
      <c r="A81" s="11" t="s">
        <v>363</v>
      </c>
      <c r="B81" s="11" t="s">
        <v>233</v>
      </c>
      <c r="C81" s="11" t="s">
        <v>295</v>
      </c>
      <c r="D81" s="11" t="s">
        <v>1592</v>
      </c>
      <c r="E81" s="11">
        <v>6.4550000000013014E-2</v>
      </c>
    </row>
    <row r="82" spans="1:5" ht="24.75">
      <c r="A82" s="11" t="s">
        <v>363</v>
      </c>
      <c r="B82" s="11" t="s">
        <v>233</v>
      </c>
      <c r="C82" s="11" t="s">
        <v>295</v>
      </c>
      <c r="D82" s="11" t="s">
        <v>1593</v>
      </c>
      <c r="E82" s="11">
        <v>8.4686796606567846E-2</v>
      </c>
    </row>
    <row r="83" spans="1:5" ht="24.75">
      <c r="A83" s="11" t="s">
        <v>363</v>
      </c>
      <c r="B83" s="11" t="s">
        <v>233</v>
      </c>
      <c r="C83" s="11" t="s">
        <v>295</v>
      </c>
      <c r="D83" s="11" t="s">
        <v>1594</v>
      </c>
      <c r="E83" s="11">
        <v>0.18066000000039151</v>
      </c>
    </row>
    <row r="84" spans="1:5" ht="24.75">
      <c r="A84" s="11" t="s">
        <v>363</v>
      </c>
      <c r="B84" s="11" t="s">
        <v>233</v>
      </c>
      <c r="C84" s="11" t="s">
        <v>295</v>
      </c>
      <c r="D84" s="11" t="s">
        <v>1595</v>
      </c>
      <c r="E84" s="11">
        <v>8.4686796606593229E-2</v>
      </c>
    </row>
    <row r="85" spans="1:5" ht="24.75">
      <c r="A85" s="11" t="s">
        <v>363</v>
      </c>
      <c r="B85" s="11" t="s">
        <v>233</v>
      </c>
      <c r="C85" s="11" t="s">
        <v>295</v>
      </c>
      <c r="D85" s="11" t="s">
        <v>1596</v>
      </c>
      <c r="E85" s="11">
        <v>6.1425000000001194E-2</v>
      </c>
    </row>
    <row r="86" spans="1:5" ht="24.75">
      <c r="A86" s="11" t="s">
        <v>363</v>
      </c>
      <c r="B86" s="11" t="s">
        <v>233</v>
      </c>
      <c r="C86" s="11" t="s">
        <v>295</v>
      </c>
      <c r="D86" s="11" t="s">
        <v>1597</v>
      </c>
      <c r="E86" s="11">
        <v>0.18066064477993485</v>
      </c>
    </row>
    <row r="87" spans="1:5" ht="24.75">
      <c r="A87" s="11" t="s">
        <v>363</v>
      </c>
      <c r="B87" s="11" t="s">
        <v>233</v>
      </c>
      <c r="C87" s="11" t="s">
        <v>295</v>
      </c>
      <c r="D87" s="11" t="s">
        <v>1598</v>
      </c>
      <c r="E87" s="11">
        <v>8.7125508698747856E-2</v>
      </c>
    </row>
    <row r="88" spans="1:5" ht="24.75">
      <c r="A88" s="11" t="s">
        <v>363</v>
      </c>
      <c r="B88" s="11" t="s">
        <v>233</v>
      </c>
      <c r="C88" s="11" t="s">
        <v>295</v>
      </c>
      <c r="D88" s="11" t="s">
        <v>1599</v>
      </c>
      <c r="E88" s="11">
        <v>1.5314889574098611</v>
      </c>
    </row>
    <row r="89" spans="1:5" ht="24.75">
      <c r="A89" s="11" t="s">
        <v>363</v>
      </c>
      <c r="B89" s="11" t="s">
        <v>233</v>
      </c>
      <c r="C89" s="11" t="s">
        <v>295</v>
      </c>
      <c r="D89" s="11" t="s">
        <v>1600</v>
      </c>
      <c r="E89" s="11">
        <v>2.3298748501898166E-2</v>
      </c>
    </row>
    <row r="90" spans="1:5" ht="24.75">
      <c r="A90" s="11" t="s">
        <v>363</v>
      </c>
      <c r="B90" s="11" t="s">
        <v>233</v>
      </c>
      <c r="C90" s="11" t="s">
        <v>295</v>
      </c>
      <c r="D90" s="11" t="s">
        <v>1601</v>
      </c>
      <c r="E90" s="11">
        <v>6.7950000000728178E-2</v>
      </c>
    </row>
    <row r="91" spans="1:5" ht="24.75">
      <c r="A91" s="11" t="s">
        <v>363</v>
      </c>
      <c r="B91" s="11" t="s">
        <v>233</v>
      </c>
      <c r="C91" s="11" t="s">
        <v>295</v>
      </c>
      <c r="D91" s="11" t="s">
        <v>1602</v>
      </c>
      <c r="E91" s="11">
        <v>7.5684174752898153E-2</v>
      </c>
    </row>
    <row r="92" spans="1:5" ht="24.75">
      <c r="A92" s="11" t="s">
        <v>363</v>
      </c>
      <c r="B92" s="11" t="s">
        <v>233</v>
      </c>
      <c r="C92" s="11" t="s">
        <v>295</v>
      </c>
      <c r="D92" s="11" t="s">
        <v>1603</v>
      </c>
      <c r="E92" s="11">
        <v>0.17500000000000374</v>
      </c>
    </row>
    <row r="93" spans="1:5" ht="24.75">
      <c r="A93" s="11" t="s">
        <v>363</v>
      </c>
      <c r="B93" s="11" t="s">
        <v>233</v>
      </c>
      <c r="C93" s="11" t="s">
        <v>295</v>
      </c>
      <c r="D93" s="11" t="s">
        <v>1604</v>
      </c>
      <c r="E93" s="11">
        <v>8.2857189799592834E-2</v>
      </c>
    </row>
    <row r="94" spans="1:5" ht="24.75">
      <c r="A94" s="11" t="s">
        <v>363</v>
      </c>
      <c r="B94" s="11" t="s">
        <v>233</v>
      </c>
      <c r="C94" s="11" t="s">
        <v>295</v>
      </c>
      <c r="D94" s="11" t="s">
        <v>1605</v>
      </c>
      <c r="E94" s="11">
        <v>6.455000000000187E-2</v>
      </c>
    </row>
    <row r="95" spans="1:5" ht="24.75">
      <c r="A95" s="11" t="s">
        <v>363</v>
      </c>
      <c r="B95" s="11" t="s">
        <v>233</v>
      </c>
      <c r="C95" s="11" t="s">
        <v>295</v>
      </c>
      <c r="D95" s="11" t="s">
        <v>1606</v>
      </c>
      <c r="E95" s="11">
        <v>8.7901303775649184E-2</v>
      </c>
    </row>
    <row r="96" spans="1:5" ht="24.75">
      <c r="A96" s="11" t="s">
        <v>363</v>
      </c>
      <c r="B96" s="11" t="s">
        <v>233</v>
      </c>
      <c r="C96" s="11" t="s">
        <v>295</v>
      </c>
      <c r="D96" s="11" t="s">
        <v>1607</v>
      </c>
      <c r="E96" s="11">
        <v>8.7899999999734454E-2</v>
      </c>
    </row>
    <row r="97" spans="1:5" ht="24.75">
      <c r="A97" s="11" t="s">
        <v>363</v>
      </c>
      <c r="B97" s="11" t="s">
        <v>233</v>
      </c>
      <c r="C97" s="11" t="s">
        <v>295</v>
      </c>
      <c r="D97" s="11" t="s">
        <v>1608</v>
      </c>
      <c r="E97" s="11">
        <v>0.1806599999996244</v>
      </c>
    </row>
    <row r="98" spans="1:5" ht="24.75">
      <c r="A98" s="11" t="s">
        <v>363</v>
      </c>
      <c r="B98" s="11" t="s">
        <v>233</v>
      </c>
      <c r="C98" s="11" t="s">
        <v>295</v>
      </c>
      <c r="D98" s="11" t="s">
        <v>1609</v>
      </c>
      <c r="E98" s="11">
        <v>2.3422857579836219E-2</v>
      </c>
    </row>
    <row r="99" spans="1:5" ht="24.75">
      <c r="A99" s="11" t="s">
        <v>363</v>
      </c>
      <c r="B99" s="11" t="s">
        <v>233</v>
      </c>
      <c r="C99" s="11" t="s">
        <v>295</v>
      </c>
      <c r="D99" s="11" t="s">
        <v>1610</v>
      </c>
      <c r="E99" s="11">
        <v>6.3749999999999987E-2</v>
      </c>
    </row>
    <row r="100" spans="1:5" ht="24.75">
      <c r="A100" s="11" t="s">
        <v>363</v>
      </c>
      <c r="B100" s="11" t="s">
        <v>233</v>
      </c>
      <c r="C100" s="11" t="s">
        <v>295</v>
      </c>
      <c r="D100" s="11" t="s">
        <v>1611</v>
      </c>
      <c r="E100" s="11">
        <v>6.3300000000000217E-2</v>
      </c>
    </row>
    <row r="101" spans="1:5" ht="24.75">
      <c r="A101" s="11" t="s">
        <v>363</v>
      </c>
      <c r="B101" s="11" t="s">
        <v>233</v>
      </c>
      <c r="C101" s="11" t="s">
        <v>295</v>
      </c>
      <c r="D101" s="11" t="s">
        <v>1612</v>
      </c>
      <c r="E101" s="11">
        <v>6.3299999999999745E-2</v>
      </c>
    </row>
    <row r="102" spans="1:5" ht="24.75">
      <c r="A102" s="11" t="s">
        <v>363</v>
      </c>
      <c r="B102" s="11" t="s">
        <v>233</v>
      </c>
      <c r="C102" s="11" t="s">
        <v>295</v>
      </c>
      <c r="D102" s="11" t="s">
        <v>1613</v>
      </c>
      <c r="E102" s="11">
        <v>6.330009249222579E-2</v>
      </c>
    </row>
    <row r="103" spans="1:5" ht="24.75">
      <c r="A103" s="11" t="s">
        <v>363</v>
      </c>
      <c r="B103" s="11" t="s">
        <v>233</v>
      </c>
      <c r="C103" s="11" t="s">
        <v>295</v>
      </c>
      <c r="D103" s="11" t="s">
        <v>1614</v>
      </c>
      <c r="E103" s="11">
        <v>6.329999999999919E-2</v>
      </c>
    </row>
    <row r="104" spans="1:5" ht="24.75">
      <c r="A104" s="11" t="s">
        <v>363</v>
      </c>
      <c r="B104" s="11" t="s">
        <v>233</v>
      </c>
      <c r="C104" s="11" t="s">
        <v>295</v>
      </c>
      <c r="D104" s="11" t="s">
        <v>1615</v>
      </c>
      <c r="E104" s="11">
        <v>6.3300000021871888E-2</v>
      </c>
    </row>
    <row r="105" spans="1:5" ht="24.75">
      <c r="A105" s="11" t="s">
        <v>363</v>
      </c>
      <c r="B105" s="11" t="s">
        <v>233</v>
      </c>
      <c r="C105" s="11" t="s">
        <v>295</v>
      </c>
      <c r="D105" s="11" t="s">
        <v>1616</v>
      </c>
      <c r="E105" s="11">
        <v>6.3325535612462319E-2</v>
      </c>
    </row>
    <row r="106" spans="1:5" ht="24.75">
      <c r="A106" s="11" t="s">
        <v>363</v>
      </c>
      <c r="B106" s="11" t="s">
        <v>233</v>
      </c>
      <c r="C106" s="11" t="s">
        <v>295</v>
      </c>
      <c r="D106" s="11" t="s">
        <v>1617</v>
      </c>
      <c r="E106" s="11">
        <v>8.5838712134662667E-2</v>
      </c>
    </row>
    <row r="107" spans="1:5" ht="24.75">
      <c r="A107" s="11" t="s">
        <v>363</v>
      </c>
      <c r="B107" s="11" t="s">
        <v>233</v>
      </c>
      <c r="C107" s="11" t="s">
        <v>295</v>
      </c>
      <c r="D107" s="11" t="s">
        <v>1618</v>
      </c>
      <c r="E107" s="11">
        <v>8.132182010100493E-2</v>
      </c>
    </row>
    <row r="108" spans="1:5" ht="24.75">
      <c r="A108" s="11" t="s">
        <v>363</v>
      </c>
      <c r="B108" s="11" t="s">
        <v>233</v>
      </c>
      <c r="C108" s="11" t="s">
        <v>295</v>
      </c>
      <c r="D108" s="11" t="s">
        <v>1619</v>
      </c>
      <c r="E108" s="11">
        <v>0.18000000000000016</v>
      </c>
    </row>
    <row r="109" spans="1:5" ht="24.75">
      <c r="A109" s="11" t="s">
        <v>363</v>
      </c>
      <c r="B109" s="11" t="s">
        <v>233</v>
      </c>
      <c r="C109" s="11" t="s">
        <v>295</v>
      </c>
      <c r="D109" s="11" t="s">
        <v>1620</v>
      </c>
      <c r="E109" s="11">
        <v>8.2857905240207128E-2</v>
      </c>
    </row>
    <row r="110" spans="1:5" ht="24.75">
      <c r="A110" s="11" t="s">
        <v>363</v>
      </c>
      <c r="B110" s="11" t="s">
        <v>233</v>
      </c>
      <c r="C110" s="11" t="s">
        <v>295</v>
      </c>
      <c r="D110" s="11" t="s">
        <v>1621</v>
      </c>
      <c r="E110" s="11">
        <v>7.5662813807690646E-2</v>
      </c>
    </row>
    <row r="111" spans="1:5" ht="24.75">
      <c r="A111" s="11" t="s">
        <v>363</v>
      </c>
      <c r="B111" s="11" t="s">
        <v>233</v>
      </c>
      <c r="C111" s="11" t="s">
        <v>295</v>
      </c>
      <c r="D111" s="11" t="s">
        <v>1622</v>
      </c>
      <c r="E111" s="11">
        <v>0.18066331237723648</v>
      </c>
    </row>
    <row r="112" spans="1:5" ht="24.75">
      <c r="A112" s="11" t="s">
        <v>363</v>
      </c>
      <c r="B112" s="11" t="s">
        <v>233</v>
      </c>
      <c r="C112" s="11" t="s">
        <v>295</v>
      </c>
      <c r="D112" s="11" t="s">
        <v>1623</v>
      </c>
      <c r="E112" s="11">
        <v>6.5624999999999975E-2</v>
      </c>
    </row>
    <row r="113" spans="1:5" ht="24.75">
      <c r="A113" s="11" t="s">
        <v>363</v>
      </c>
      <c r="B113" s="11" t="s">
        <v>233</v>
      </c>
      <c r="C113" s="11" t="s">
        <v>295</v>
      </c>
      <c r="D113" s="11" t="s">
        <v>1624</v>
      </c>
      <c r="E113" s="11">
        <v>7.3751251498100884E-2</v>
      </c>
    </row>
    <row r="114" spans="1:5" ht="24.75">
      <c r="A114" s="11" t="s">
        <v>363</v>
      </c>
      <c r="B114" s="11" t="s">
        <v>233</v>
      </c>
      <c r="C114" s="11" t="s">
        <v>295</v>
      </c>
      <c r="D114" s="11" t="s">
        <v>1625</v>
      </c>
      <c r="E114" s="11">
        <v>7.36281428763194E-2</v>
      </c>
    </row>
    <row r="115" spans="1:5" ht="24.75">
      <c r="A115" s="11" t="s">
        <v>363</v>
      </c>
      <c r="B115" s="11" t="s">
        <v>233</v>
      </c>
      <c r="C115" s="11" t="s">
        <v>295</v>
      </c>
      <c r="D115" s="11" t="s">
        <v>1626</v>
      </c>
      <c r="E115" s="11">
        <v>1.7326686004466532</v>
      </c>
    </row>
    <row r="116" spans="1:5" ht="24.75">
      <c r="A116" s="11" t="s">
        <v>363</v>
      </c>
      <c r="B116" s="11" t="s">
        <v>233</v>
      </c>
      <c r="C116" s="11" t="s">
        <v>295</v>
      </c>
      <c r="D116" s="11" t="s">
        <v>1627</v>
      </c>
      <c r="E116" s="11">
        <v>3.0825923558977304</v>
      </c>
    </row>
    <row r="117" spans="1:5" ht="24.75">
      <c r="A117" s="11" t="s">
        <v>363</v>
      </c>
      <c r="B117" s="11" t="s">
        <v>233</v>
      </c>
      <c r="C117" s="11" t="s">
        <v>295</v>
      </c>
      <c r="D117" s="11" t="s">
        <v>1628</v>
      </c>
      <c r="E117" s="11">
        <v>2.3981188393307291</v>
      </c>
    </row>
    <row r="118" spans="1:5" ht="24.75">
      <c r="A118" s="11" t="s">
        <v>363</v>
      </c>
      <c r="B118" s="11" t="s">
        <v>233</v>
      </c>
      <c r="C118" s="11" t="s">
        <v>295</v>
      </c>
      <c r="D118" s="11" t="s">
        <v>1629</v>
      </c>
      <c r="E118" s="11">
        <v>0.63827995793138825</v>
      </c>
    </row>
    <row r="119" spans="1:5" ht="24.75">
      <c r="A119" s="11" t="s">
        <v>363</v>
      </c>
      <c r="B119" s="11" t="s">
        <v>233</v>
      </c>
      <c r="C119" s="11" t="s">
        <v>295</v>
      </c>
      <c r="D119" s="11" t="s">
        <v>1630</v>
      </c>
      <c r="E119" s="11">
        <v>1.7160469918941215</v>
      </c>
    </row>
    <row r="120" spans="1:5" ht="24.75">
      <c r="A120" s="11" t="s">
        <v>363</v>
      </c>
      <c r="B120" s="11" t="s">
        <v>233</v>
      </c>
      <c r="C120" s="11" t="s">
        <v>295</v>
      </c>
      <c r="D120" s="11" t="s">
        <v>1631</v>
      </c>
      <c r="E120" s="11">
        <v>1.723347201216811</v>
      </c>
    </row>
    <row r="121" spans="1:5" ht="24.75">
      <c r="A121" s="11" t="s">
        <v>363</v>
      </c>
      <c r="B121" s="11" t="s">
        <v>233</v>
      </c>
      <c r="C121" s="11" t="s">
        <v>295</v>
      </c>
      <c r="D121" s="11" t="s">
        <v>1632</v>
      </c>
      <c r="E121" s="11">
        <v>0.64851455955274961</v>
      </c>
    </row>
    <row r="122" spans="1:5" ht="24.75">
      <c r="A122" s="11" t="s">
        <v>363</v>
      </c>
      <c r="B122" s="11" t="s">
        <v>233</v>
      </c>
      <c r="C122" s="11" t="s">
        <v>295</v>
      </c>
      <c r="D122" s="11" t="s">
        <v>1633</v>
      </c>
      <c r="E122" s="11">
        <v>0.60556605521619222</v>
      </c>
    </row>
    <row r="123" spans="1:5" ht="24.75">
      <c r="A123" s="11" t="s">
        <v>363</v>
      </c>
      <c r="B123" s="11" t="s">
        <v>233</v>
      </c>
      <c r="C123" s="11" t="s">
        <v>295</v>
      </c>
      <c r="D123" s="11" t="s">
        <v>1634</v>
      </c>
      <c r="E123" s="11">
        <v>0.31662092091421534</v>
      </c>
    </row>
    <row r="124" spans="1:5" ht="24.75">
      <c r="A124" s="11" t="s">
        <v>363</v>
      </c>
      <c r="B124" s="11" t="s">
        <v>233</v>
      </c>
      <c r="C124" s="11" t="s">
        <v>295</v>
      </c>
      <c r="D124" s="11" t="s">
        <v>1635</v>
      </c>
      <c r="E124" s="11">
        <v>0.32071118366875956</v>
      </c>
    </row>
    <row r="125" spans="1:5" ht="24.75">
      <c r="A125" s="11" t="s">
        <v>363</v>
      </c>
      <c r="B125" s="11" t="s">
        <v>233</v>
      </c>
      <c r="C125" s="11" t="s">
        <v>295</v>
      </c>
      <c r="D125" s="11" t="s">
        <v>1636</v>
      </c>
      <c r="E125" s="11">
        <v>0.53793724273956878</v>
      </c>
    </row>
    <row r="126" spans="1:5" ht="24.75">
      <c r="A126" s="11" t="s">
        <v>363</v>
      </c>
      <c r="B126" s="11" t="s">
        <v>233</v>
      </c>
      <c r="C126" s="11" t="s">
        <v>295</v>
      </c>
      <c r="D126" s="11" t="s">
        <v>1637</v>
      </c>
      <c r="E126" s="11">
        <v>0.18698505312449426</v>
      </c>
    </row>
    <row r="127" spans="1:5" ht="24.75">
      <c r="A127" s="11" t="s">
        <v>363</v>
      </c>
      <c r="B127" s="11" t="s">
        <v>233</v>
      </c>
      <c r="C127" s="11" t="s">
        <v>295</v>
      </c>
      <c r="D127" s="11" t="s">
        <v>1638</v>
      </c>
      <c r="E127" s="11">
        <v>0.81591826478873353</v>
      </c>
    </row>
    <row r="128" spans="1:5" ht="24.75">
      <c r="A128" s="11" t="s">
        <v>363</v>
      </c>
      <c r="B128" s="11" t="s">
        <v>233</v>
      </c>
      <c r="C128" s="11" t="s">
        <v>295</v>
      </c>
      <c r="D128" s="11" t="s">
        <v>1639</v>
      </c>
      <c r="E128" s="11">
        <v>0.15858492169843541</v>
      </c>
    </row>
    <row r="129" spans="1:5" ht="24.75">
      <c r="A129" s="11" t="s">
        <v>363</v>
      </c>
      <c r="B129" s="11" t="s">
        <v>233</v>
      </c>
      <c r="C129" s="11" t="s">
        <v>295</v>
      </c>
      <c r="D129" s="11" t="s">
        <v>1640</v>
      </c>
      <c r="E129" s="11">
        <v>1.208763779817732</v>
      </c>
    </row>
    <row r="130" spans="1:5" ht="24.75">
      <c r="A130" s="11" t="s">
        <v>363</v>
      </c>
      <c r="B130" s="11" t="s">
        <v>233</v>
      </c>
      <c r="C130" s="11" t="s">
        <v>295</v>
      </c>
      <c r="D130" s="11" t="s">
        <v>1641</v>
      </c>
      <c r="E130" s="11">
        <v>9.4526147760610302E-2</v>
      </c>
    </row>
    <row r="131" spans="1:5" ht="24.75">
      <c r="A131" s="11" t="s">
        <v>363</v>
      </c>
      <c r="B131" s="11" t="s">
        <v>233</v>
      </c>
      <c r="C131" s="11" t="s">
        <v>295</v>
      </c>
      <c r="D131" s="11" t="s">
        <v>1642</v>
      </c>
      <c r="E131" s="11">
        <v>0.10526084001688309</v>
      </c>
    </row>
    <row r="132" spans="1:5" ht="24.75">
      <c r="A132" s="11" t="s">
        <v>363</v>
      </c>
      <c r="B132" s="11" t="s">
        <v>233</v>
      </c>
      <c r="C132" s="11" t="s">
        <v>295</v>
      </c>
      <c r="D132" s="11" t="s">
        <v>1643</v>
      </c>
      <c r="E132" s="11">
        <v>0.30500108410539861</v>
      </c>
    </row>
    <row r="133" spans="1:5" ht="24.75">
      <c r="A133" s="11" t="s">
        <v>363</v>
      </c>
      <c r="B133" s="11" t="s">
        <v>233</v>
      </c>
      <c r="C133" s="11" t="s">
        <v>295</v>
      </c>
      <c r="D133" s="11" t="s">
        <v>1644</v>
      </c>
      <c r="E133" s="11">
        <v>8.7546796606525423E-2</v>
      </c>
    </row>
    <row r="134" spans="1:5" ht="24.75">
      <c r="A134" s="11" t="s">
        <v>363</v>
      </c>
      <c r="B134" s="11" t="s">
        <v>233</v>
      </c>
      <c r="C134" s="11" t="s">
        <v>295</v>
      </c>
      <c r="D134" s="11" t="s">
        <v>1645</v>
      </c>
      <c r="E134" s="11">
        <v>8.2039851684040904E-2</v>
      </c>
    </row>
    <row r="135" spans="1:5" ht="24.75">
      <c r="A135" s="11" t="s">
        <v>363</v>
      </c>
      <c r="B135" s="11" t="s">
        <v>233</v>
      </c>
      <c r="C135" s="11" t="s">
        <v>295</v>
      </c>
      <c r="D135" s="11" t="s">
        <v>1646</v>
      </c>
      <c r="E135" s="11">
        <v>6.4550000000013014E-2</v>
      </c>
    </row>
    <row r="136" spans="1:5" ht="24.75">
      <c r="A136" s="11" t="s">
        <v>363</v>
      </c>
      <c r="B136" s="11" t="s">
        <v>233</v>
      </c>
      <c r="C136" s="11" t="s">
        <v>295</v>
      </c>
      <c r="D136" s="11" t="s">
        <v>1647</v>
      </c>
      <c r="E136" s="11">
        <v>8.4686796606567846E-2</v>
      </c>
    </row>
    <row r="137" spans="1:5" ht="24.75">
      <c r="A137" s="11" t="s">
        <v>363</v>
      </c>
      <c r="B137" s="11" t="s">
        <v>233</v>
      </c>
      <c r="C137" s="11" t="s">
        <v>295</v>
      </c>
      <c r="D137" s="11" t="s">
        <v>1648</v>
      </c>
      <c r="E137" s="11">
        <v>0.18066000000039151</v>
      </c>
    </row>
    <row r="138" spans="1:5" ht="24.75">
      <c r="A138" s="11" t="s">
        <v>363</v>
      </c>
      <c r="B138" s="11" t="s">
        <v>233</v>
      </c>
      <c r="C138" s="11" t="s">
        <v>295</v>
      </c>
      <c r="D138" s="11" t="s">
        <v>1649</v>
      </c>
      <c r="E138" s="11">
        <v>8.4686796606593229E-2</v>
      </c>
    </row>
    <row r="139" spans="1:5" ht="24.75">
      <c r="A139" s="11" t="s">
        <v>363</v>
      </c>
      <c r="B139" s="11" t="s">
        <v>233</v>
      </c>
      <c r="C139" s="11" t="s">
        <v>295</v>
      </c>
      <c r="D139" s="11" t="s">
        <v>1650</v>
      </c>
      <c r="E139" s="11">
        <v>6.1425000000001194E-2</v>
      </c>
    </row>
    <row r="140" spans="1:5" ht="24.75">
      <c r="A140" s="11" t="s">
        <v>363</v>
      </c>
      <c r="B140" s="11" t="s">
        <v>233</v>
      </c>
      <c r="C140" s="11" t="s">
        <v>295</v>
      </c>
      <c r="D140" s="11" t="s">
        <v>1651</v>
      </c>
      <c r="E140" s="11">
        <v>0.18066064477993485</v>
      </c>
    </row>
    <row r="141" spans="1:5" ht="24.75">
      <c r="A141" s="11" t="s">
        <v>363</v>
      </c>
      <c r="B141" s="11" t="s">
        <v>233</v>
      </c>
      <c r="C141" s="11" t="s">
        <v>295</v>
      </c>
      <c r="D141" s="11" t="s">
        <v>1652</v>
      </c>
      <c r="E141" s="11">
        <v>8.6257267853211653E-2</v>
      </c>
    </row>
    <row r="142" spans="1:5" ht="24.75">
      <c r="A142" s="11" t="s">
        <v>363</v>
      </c>
      <c r="B142" s="11" t="s">
        <v>233</v>
      </c>
      <c r="C142" s="11" t="s">
        <v>295</v>
      </c>
      <c r="D142" s="11" t="s">
        <v>1653</v>
      </c>
      <c r="E142" s="11">
        <v>1.7636954860660028</v>
      </c>
    </row>
    <row r="143" spans="1:5" ht="24.75">
      <c r="A143" s="11" t="s">
        <v>363</v>
      </c>
      <c r="B143" s="11" t="s">
        <v>233</v>
      </c>
      <c r="C143" s="11" t="s">
        <v>295</v>
      </c>
      <c r="D143" s="11" t="s">
        <v>1654</v>
      </c>
      <c r="E143" s="11">
        <v>2.3298748501898201E-2</v>
      </c>
    </row>
    <row r="144" spans="1:5" ht="24.75">
      <c r="A144" s="11" t="s">
        <v>363</v>
      </c>
      <c r="B144" s="11" t="s">
        <v>233</v>
      </c>
      <c r="C144" s="11" t="s">
        <v>295</v>
      </c>
      <c r="D144" s="11" t="s">
        <v>1655</v>
      </c>
      <c r="E144" s="11">
        <v>6.7950000000365052E-2</v>
      </c>
    </row>
    <row r="145" spans="1:5" ht="24.75">
      <c r="A145" s="11" t="s">
        <v>363</v>
      </c>
      <c r="B145" s="11" t="s">
        <v>233</v>
      </c>
      <c r="C145" s="11" t="s">
        <v>295</v>
      </c>
      <c r="D145" s="11" t="s">
        <v>1656</v>
      </c>
      <c r="E145" s="11">
        <v>7.5684174752898153E-2</v>
      </c>
    </row>
    <row r="146" spans="1:5" ht="24.75">
      <c r="A146" s="11" t="s">
        <v>363</v>
      </c>
      <c r="B146" s="11" t="s">
        <v>233</v>
      </c>
      <c r="C146" s="11" t="s">
        <v>295</v>
      </c>
      <c r="D146" s="11" t="s">
        <v>1657</v>
      </c>
      <c r="E146" s="11">
        <v>0.18927280859050602</v>
      </c>
    </row>
    <row r="147" spans="1:5" ht="24.75">
      <c r="A147" s="11" t="s">
        <v>363</v>
      </c>
      <c r="B147" s="11" t="s">
        <v>233</v>
      </c>
      <c r="C147" s="11" t="s">
        <v>295</v>
      </c>
      <c r="D147" s="11" t="s">
        <v>1658</v>
      </c>
      <c r="E147" s="11">
        <v>8.2857189799592834E-2</v>
      </c>
    </row>
    <row r="148" spans="1:5" ht="24.75">
      <c r="A148" s="11" t="s">
        <v>363</v>
      </c>
      <c r="B148" s="11" t="s">
        <v>233</v>
      </c>
      <c r="C148" s="11" t="s">
        <v>295</v>
      </c>
      <c r="D148" s="11" t="s">
        <v>1659</v>
      </c>
      <c r="E148" s="11">
        <v>6.455000000000187E-2</v>
      </c>
    </row>
    <row r="149" spans="1:5" ht="24.75">
      <c r="A149" s="11" t="s">
        <v>363</v>
      </c>
      <c r="B149" s="11" t="s">
        <v>233</v>
      </c>
      <c r="C149" s="11" t="s">
        <v>295</v>
      </c>
      <c r="D149" s="11" t="s">
        <v>1660</v>
      </c>
      <c r="E149" s="11">
        <v>8.7901303775649184E-2</v>
      </c>
    </row>
    <row r="150" spans="1:5" ht="24.75">
      <c r="A150" s="11" t="s">
        <v>363</v>
      </c>
      <c r="B150" s="11" t="s">
        <v>233</v>
      </c>
      <c r="C150" s="11" t="s">
        <v>295</v>
      </c>
      <c r="D150" s="11" t="s">
        <v>1661</v>
      </c>
      <c r="E150" s="11">
        <v>8.8768240845296956E-2</v>
      </c>
    </row>
    <row r="151" spans="1:5" ht="24.75">
      <c r="A151" s="11" t="s">
        <v>363</v>
      </c>
      <c r="B151" s="11" t="s">
        <v>233</v>
      </c>
      <c r="C151" s="11" t="s">
        <v>295</v>
      </c>
      <c r="D151" s="11" t="s">
        <v>1662</v>
      </c>
      <c r="E151" s="11">
        <v>0.1806599999996244</v>
      </c>
    </row>
    <row r="152" spans="1:5" ht="24.75">
      <c r="A152" s="11" t="s">
        <v>363</v>
      </c>
      <c r="B152" s="11" t="s">
        <v>233</v>
      </c>
      <c r="C152" s="11" t="s">
        <v>295</v>
      </c>
      <c r="D152" s="11" t="s">
        <v>1663</v>
      </c>
      <c r="E152" s="11">
        <v>2.342265301119853E-2</v>
      </c>
    </row>
    <row r="153" spans="1:5" ht="24.75">
      <c r="A153" s="11" t="s">
        <v>363</v>
      </c>
      <c r="B153" s="11" t="s">
        <v>233</v>
      </c>
      <c r="C153" s="11" t="s">
        <v>295</v>
      </c>
      <c r="D153" s="11" t="s">
        <v>1664</v>
      </c>
      <c r="E153" s="11">
        <v>6.375000000000057E-2</v>
      </c>
    </row>
    <row r="154" spans="1:5" ht="24.75">
      <c r="A154" s="11" t="s">
        <v>363</v>
      </c>
      <c r="B154" s="11" t="s">
        <v>233</v>
      </c>
      <c r="C154" s="11" t="s">
        <v>295</v>
      </c>
      <c r="D154" s="11" t="s">
        <v>1665</v>
      </c>
      <c r="E154" s="11">
        <v>6.3300000000000217E-2</v>
      </c>
    </row>
    <row r="155" spans="1:5" ht="24.75">
      <c r="A155" s="11" t="s">
        <v>363</v>
      </c>
      <c r="B155" s="11" t="s">
        <v>233</v>
      </c>
      <c r="C155" s="11" t="s">
        <v>295</v>
      </c>
      <c r="D155" s="11" t="s">
        <v>1666</v>
      </c>
      <c r="E155" s="11">
        <v>6.3299999999999745E-2</v>
      </c>
    </row>
    <row r="156" spans="1:5" ht="24.75">
      <c r="A156" s="11" t="s">
        <v>363</v>
      </c>
      <c r="B156" s="11" t="s">
        <v>233</v>
      </c>
      <c r="C156" s="11" t="s">
        <v>295</v>
      </c>
      <c r="D156" s="11" t="s">
        <v>1667</v>
      </c>
      <c r="E156" s="11">
        <v>6.330009249222579E-2</v>
      </c>
    </row>
    <row r="157" spans="1:5" ht="24.75">
      <c r="A157" s="11" t="s">
        <v>363</v>
      </c>
      <c r="B157" s="11" t="s">
        <v>233</v>
      </c>
      <c r="C157" s="11" t="s">
        <v>295</v>
      </c>
      <c r="D157" s="11" t="s">
        <v>1668</v>
      </c>
      <c r="E157" s="11">
        <v>6.329999999999919E-2</v>
      </c>
    </row>
    <row r="158" spans="1:5" ht="24.75">
      <c r="A158" s="11" t="s">
        <v>363</v>
      </c>
      <c r="B158" s="11" t="s">
        <v>233</v>
      </c>
      <c r="C158" s="11" t="s">
        <v>295</v>
      </c>
      <c r="D158" s="11" t="s">
        <v>1669</v>
      </c>
      <c r="E158" s="11">
        <v>6.3300000021871888E-2</v>
      </c>
    </row>
    <row r="159" spans="1:5" ht="24.75">
      <c r="A159" s="11" t="s">
        <v>363</v>
      </c>
      <c r="B159" s="11" t="s">
        <v>233</v>
      </c>
      <c r="C159" s="11" t="s">
        <v>295</v>
      </c>
      <c r="D159" s="11" t="s">
        <v>1670</v>
      </c>
      <c r="E159" s="11">
        <v>6.32999999996329E-2</v>
      </c>
    </row>
    <row r="160" spans="1:5" ht="24.75">
      <c r="A160" s="11" t="s">
        <v>363</v>
      </c>
      <c r="B160" s="11" t="s">
        <v>233</v>
      </c>
      <c r="C160" s="11" t="s">
        <v>295</v>
      </c>
      <c r="D160" s="11" t="s">
        <v>1671</v>
      </c>
      <c r="E160" s="11">
        <v>8.5838712134662667E-2</v>
      </c>
    </row>
    <row r="161" spans="1:5" ht="24.75">
      <c r="A161" s="11" t="s">
        <v>363</v>
      </c>
      <c r="B161" s="11" t="s">
        <v>233</v>
      </c>
      <c r="C161" s="11" t="s">
        <v>295</v>
      </c>
      <c r="D161" s="11" t="s">
        <v>1672</v>
      </c>
      <c r="E161" s="11">
        <v>8.5201165713314028E-2</v>
      </c>
    </row>
    <row r="162" spans="1:5" ht="24.75">
      <c r="A162" s="11" t="s">
        <v>363</v>
      </c>
      <c r="B162" s="11" t="s">
        <v>233</v>
      </c>
      <c r="C162" s="11" t="s">
        <v>295</v>
      </c>
      <c r="D162" s="11" t="s">
        <v>1673</v>
      </c>
      <c r="E162" s="11">
        <v>0.18000000000000016</v>
      </c>
    </row>
    <row r="163" spans="1:5" ht="24.75">
      <c r="A163" s="11" t="s">
        <v>363</v>
      </c>
      <c r="B163" s="11" t="s">
        <v>233</v>
      </c>
      <c r="C163" s="11" t="s">
        <v>295</v>
      </c>
      <c r="D163" s="11" t="s">
        <v>1674</v>
      </c>
      <c r="E163" s="11">
        <v>8.2857905240207128E-2</v>
      </c>
    </row>
    <row r="164" spans="1:5" ht="24.75">
      <c r="A164" s="11" t="s">
        <v>363</v>
      </c>
      <c r="B164" s="11" t="s">
        <v>233</v>
      </c>
      <c r="C164" s="11" t="s">
        <v>295</v>
      </c>
      <c r="D164" s="11" t="s">
        <v>1675</v>
      </c>
      <c r="E164" s="11">
        <v>7.5662813807690646E-2</v>
      </c>
    </row>
    <row r="165" spans="1:5" ht="24.75">
      <c r="A165" s="11" t="s">
        <v>363</v>
      </c>
      <c r="B165" s="11" t="s">
        <v>233</v>
      </c>
      <c r="C165" s="11" t="s">
        <v>295</v>
      </c>
      <c r="D165" s="11" t="s">
        <v>1676</v>
      </c>
      <c r="E165" s="11">
        <v>0.18066331237687372</v>
      </c>
    </row>
    <row r="166" spans="1:5" ht="24.75">
      <c r="A166" s="11" t="s">
        <v>363</v>
      </c>
      <c r="B166" s="11" t="s">
        <v>233</v>
      </c>
      <c r="C166" s="11" t="s">
        <v>295</v>
      </c>
      <c r="D166" s="11" t="s">
        <v>1677</v>
      </c>
      <c r="E166" s="11">
        <v>6.5625000000364225E-2</v>
      </c>
    </row>
    <row r="167" spans="1:5" ht="24.75">
      <c r="A167" s="11" t="s">
        <v>363</v>
      </c>
      <c r="B167" s="11" t="s">
        <v>233</v>
      </c>
      <c r="C167" s="11" t="s">
        <v>295</v>
      </c>
      <c r="D167" s="11" t="s">
        <v>1678</v>
      </c>
      <c r="E167" s="11">
        <v>7.3751251498100884E-2</v>
      </c>
    </row>
    <row r="168" spans="1:5" ht="24.75">
      <c r="A168" s="11" t="s">
        <v>363</v>
      </c>
      <c r="B168" s="11" t="s">
        <v>233</v>
      </c>
      <c r="C168" s="11" t="s">
        <v>295</v>
      </c>
      <c r="D168" s="11" t="s">
        <v>1679</v>
      </c>
      <c r="E168" s="11">
        <v>7.36281428763194E-2</v>
      </c>
    </row>
    <row r="169" spans="1:5" ht="24.75">
      <c r="A169" s="11" t="s">
        <v>363</v>
      </c>
      <c r="B169" s="11" t="s">
        <v>233</v>
      </c>
      <c r="C169" s="11" t="s">
        <v>295</v>
      </c>
      <c r="D169" s="11" t="s">
        <v>1680</v>
      </c>
      <c r="E169" s="11">
        <v>8.7546796606525423E-2</v>
      </c>
    </row>
    <row r="170" spans="1:5" ht="24.75">
      <c r="A170" s="11" t="s">
        <v>363</v>
      </c>
      <c r="B170" s="11" t="s">
        <v>233</v>
      </c>
      <c r="C170" s="11" t="s">
        <v>295</v>
      </c>
      <c r="D170" s="11" t="s">
        <v>1681</v>
      </c>
      <c r="E170" s="11">
        <v>8.5919197296306982E-2</v>
      </c>
    </row>
    <row r="171" spans="1:5" ht="24.75">
      <c r="A171" s="11" t="s">
        <v>363</v>
      </c>
      <c r="B171" s="11" t="s">
        <v>233</v>
      </c>
      <c r="C171" s="11" t="s">
        <v>295</v>
      </c>
      <c r="D171" s="11" t="s">
        <v>1682</v>
      </c>
      <c r="E171" s="11">
        <v>6.4550000000013014E-2</v>
      </c>
    </row>
    <row r="172" spans="1:5" ht="24.75">
      <c r="A172" s="11" t="s">
        <v>363</v>
      </c>
      <c r="B172" s="11" t="s">
        <v>233</v>
      </c>
      <c r="C172" s="11" t="s">
        <v>295</v>
      </c>
      <c r="D172" s="11" t="s">
        <v>1683</v>
      </c>
      <c r="E172" s="11">
        <v>8.4686796606567846E-2</v>
      </c>
    </row>
    <row r="173" spans="1:5" ht="24.75">
      <c r="A173" s="11" t="s">
        <v>363</v>
      </c>
      <c r="B173" s="11" t="s">
        <v>233</v>
      </c>
      <c r="C173" s="11" t="s">
        <v>295</v>
      </c>
      <c r="D173" s="11" t="s">
        <v>1684</v>
      </c>
      <c r="E173" s="11">
        <v>0.18066000000039151</v>
      </c>
    </row>
    <row r="174" spans="1:5" ht="24.75">
      <c r="A174" s="11" t="s">
        <v>363</v>
      </c>
      <c r="B174" s="11" t="s">
        <v>233</v>
      </c>
      <c r="C174" s="11" t="s">
        <v>295</v>
      </c>
      <c r="D174" s="11" t="s">
        <v>1685</v>
      </c>
      <c r="E174" s="11">
        <v>8.4686796606593229E-2</v>
      </c>
    </row>
    <row r="175" spans="1:5" ht="24.75">
      <c r="A175" s="11" t="s">
        <v>363</v>
      </c>
      <c r="B175" s="11" t="s">
        <v>233</v>
      </c>
      <c r="C175" s="11" t="s">
        <v>295</v>
      </c>
      <c r="D175" s="11" t="s">
        <v>1686</v>
      </c>
      <c r="E175" s="11">
        <v>6.1425000000001194E-2</v>
      </c>
    </row>
    <row r="176" spans="1:5" ht="24.75">
      <c r="A176" s="11" t="s">
        <v>363</v>
      </c>
      <c r="B176" s="11" t="s">
        <v>233</v>
      </c>
      <c r="C176" s="11" t="s">
        <v>295</v>
      </c>
      <c r="D176" s="11" t="s">
        <v>1687</v>
      </c>
      <c r="E176" s="11">
        <v>0.18066064477993485</v>
      </c>
    </row>
    <row r="177" spans="1:5" ht="24.75">
      <c r="A177" s="11" t="s">
        <v>363</v>
      </c>
      <c r="B177" s="11" t="s">
        <v>233</v>
      </c>
      <c r="C177" s="11" t="s">
        <v>295</v>
      </c>
      <c r="D177" s="11" t="s">
        <v>1688</v>
      </c>
      <c r="E177" s="11">
        <v>8.7125508698747856E-2</v>
      </c>
    </row>
    <row r="178" spans="1:5" ht="24.75">
      <c r="A178" s="11" t="s">
        <v>363</v>
      </c>
      <c r="B178" s="11" t="s">
        <v>233</v>
      </c>
      <c r="C178" s="11" t="s">
        <v>295</v>
      </c>
      <c r="D178" s="11" t="s">
        <v>1689</v>
      </c>
      <c r="E178" s="11">
        <v>1.4874456708733041</v>
      </c>
    </row>
    <row r="179" spans="1:5" ht="24.75">
      <c r="A179" s="11" t="s">
        <v>363</v>
      </c>
      <c r="B179" s="11" t="s">
        <v>233</v>
      </c>
      <c r="C179" s="11" t="s">
        <v>295</v>
      </c>
      <c r="D179" s="11" t="s">
        <v>1690</v>
      </c>
      <c r="E179" s="11">
        <v>2.3298748501898166E-2</v>
      </c>
    </row>
    <row r="180" spans="1:5" ht="24.75">
      <c r="A180" s="11" t="s">
        <v>363</v>
      </c>
      <c r="B180" s="11" t="s">
        <v>233</v>
      </c>
      <c r="C180" s="11" t="s">
        <v>295</v>
      </c>
      <c r="D180" s="11" t="s">
        <v>1691</v>
      </c>
      <c r="E180" s="11">
        <v>6.7950000000728178E-2</v>
      </c>
    </row>
    <row r="181" spans="1:5" ht="24.75">
      <c r="A181" s="11" t="s">
        <v>363</v>
      </c>
      <c r="B181" s="11" t="s">
        <v>233</v>
      </c>
      <c r="C181" s="11" t="s">
        <v>295</v>
      </c>
      <c r="D181" s="11" t="s">
        <v>1692</v>
      </c>
      <c r="E181" s="11">
        <v>7.5684174752898153E-2</v>
      </c>
    </row>
    <row r="182" spans="1:5" ht="24.75">
      <c r="A182" s="11" t="s">
        <v>363</v>
      </c>
      <c r="B182" s="11" t="s">
        <v>233</v>
      </c>
      <c r="C182" s="11" t="s">
        <v>295</v>
      </c>
      <c r="D182" s="11" t="s">
        <v>1693</v>
      </c>
      <c r="E182" s="11">
        <v>0.18927280859050602</v>
      </c>
    </row>
    <row r="183" spans="1:5" ht="24.75">
      <c r="A183" s="11" t="s">
        <v>363</v>
      </c>
      <c r="B183" s="11" t="s">
        <v>233</v>
      </c>
      <c r="C183" s="11" t="s">
        <v>295</v>
      </c>
      <c r="D183" s="11" t="s">
        <v>1694</v>
      </c>
      <c r="E183" s="11">
        <v>8.2857189799592834E-2</v>
      </c>
    </row>
    <row r="184" spans="1:5" ht="24.75">
      <c r="A184" s="11" t="s">
        <v>363</v>
      </c>
      <c r="B184" s="11" t="s">
        <v>233</v>
      </c>
      <c r="C184" s="11" t="s">
        <v>295</v>
      </c>
      <c r="D184" s="11" t="s">
        <v>1695</v>
      </c>
      <c r="E184" s="11">
        <v>6.455000000000187E-2</v>
      </c>
    </row>
    <row r="185" spans="1:5" ht="24.75">
      <c r="A185" s="11" t="s">
        <v>363</v>
      </c>
      <c r="B185" s="11" t="s">
        <v>233</v>
      </c>
      <c r="C185" s="11" t="s">
        <v>295</v>
      </c>
      <c r="D185" s="11" t="s">
        <v>1696</v>
      </c>
      <c r="E185" s="11">
        <v>8.7901303775649184E-2</v>
      </c>
    </row>
    <row r="186" spans="1:5" ht="24.75">
      <c r="A186" s="11" t="s">
        <v>363</v>
      </c>
      <c r="B186" s="11" t="s">
        <v>233</v>
      </c>
      <c r="C186" s="11" t="s">
        <v>295</v>
      </c>
      <c r="D186" s="11" t="s">
        <v>1697</v>
      </c>
      <c r="E186" s="11">
        <v>8.7899999999734454E-2</v>
      </c>
    </row>
    <row r="187" spans="1:5" ht="24.75">
      <c r="A187" s="11" t="s">
        <v>363</v>
      </c>
      <c r="B187" s="11" t="s">
        <v>233</v>
      </c>
      <c r="C187" s="11" t="s">
        <v>295</v>
      </c>
      <c r="D187" s="11" t="s">
        <v>1698</v>
      </c>
      <c r="E187" s="11">
        <v>0.1806599999996244</v>
      </c>
    </row>
    <row r="188" spans="1:5" ht="24.75">
      <c r="A188" s="11" t="s">
        <v>363</v>
      </c>
      <c r="B188" s="11" t="s">
        <v>233</v>
      </c>
      <c r="C188" s="11" t="s">
        <v>295</v>
      </c>
      <c r="D188" s="11" t="s">
        <v>1699</v>
      </c>
      <c r="E188" s="11">
        <v>2.3422857579836219E-2</v>
      </c>
    </row>
    <row r="189" spans="1:5" ht="24.75">
      <c r="A189" s="11" t="s">
        <v>363</v>
      </c>
      <c r="B189" s="11" t="s">
        <v>233</v>
      </c>
      <c r="C189" s="11" t="s">
        <v>295</v>
      </c>
      <c r="D189" s="11" t="s">
        <v>1700</v>
      </c>
      <c r="E189" s="11">
        <v>6.3749999999999987E-2</v>
      </c>
    </row>
    <row r="190" spans="1:5" ht="24.75">
      <c r="A190" s="11" t="s">
        <v>363</v>
      </c>
      <c r="B190" s="11" t="s">
        <v>233</v>
      </c>
      <c r="C190" s="11" t="s">
        <v>295</v>
      </c>
      <c r="D190" s="11" t="s">
        <v>1701</v>
      </c>
      <c r="E190" s="11">
        <v>6.3300000000000217E-2</v>
      </c>
    </row>
    <row r="191" spans="1:5" ht="24.75">
      <c r="A191" s="11" t="s">
        <v>363</v>
      </c>
      <c r="B191" s="11" t="s">
        <v>233</v>
      </c>
      <c r="C191" s="11" t="s">
        <v>295</v>
      </c>
      <c r="D191" s="11" t="s">
        <v>1702</v>
      </c>
      <c r="E191" s="11">
        <v>6.3299999999999745E-2</v>
      </c>
    </row>
    <row r="192" spans="1:5" ht="24.75">
      <c r="A192" s="11" t="s">
        <v>363</v>
      </c>
      <c r="B192" s="11" t="s">
        <v>233</v>
      </c>
      <c r="C192" s="11" t="s">
        <v>295</v>
      </c>
      <c r="D192" s="11" t="s">
        <v>1703</v>
      </c>
      <c r="E192" s="11">
        <v>6.330009249222579E-2</v>
      </c>
    </row>
    <row r="193" spans="1:5" ht="24.75">
      <c r="A193" s="11" t="s">
        <v>363</v>
      </c>
      <c r="B193" s="11" t="s">
        <v>233</v>
      </c>
      <c r="C193" s="11" t="s">
        <v>295</v>
      </c>
      <c r="D193" s="11" t="s">
        <v>1704</v>
      </c>
      <c r="E193" s="11">
        <v>6.329999999999919E-2</v>
      </c>
    </row>
    <row r="194" spans="1:5" ht="24.75">
      <c r="A194" s="11" t="s">
        <v>363</v>
      </c>
      <c r="B194" s="11" t="s">
        <v>233</v>
      </c>
      <c r="C194" s="11" t="s">
        <v>295</v>
      </c>
      <c r="D194" s="11" t="s">
        <v>1705</v>
      </c>
      <c r="E194" s="11">
        <v>6.3300000021871888E-2</v>
      </c>
    </row>
    <row r="195" spans="1:5" ht="24.75">
      <c r="A195" s="11" t="s">
        <v>363</v>
      </c>
      <c r="B195" s="11" t="s">
        <v>233</v>
      </c>
      <c r="C195" s="11" t="s">
        <v>295</v>
      </c>
      <c r="D195" s="11" t="s">
        <v>1706</v>
      </c>
      <c r="E195" s="11">
        <v>6.3325535612462319E-2</v>
      </c>
    </row>
    <row r="196" spans="1:5" ht="24.75">
      <c r="A196" s="11" t="s">
        <v>363</v>
      </c>
      <c r="B196" s="11" t="s">
        <v>233</v>
      </c>
      <c r="C196" s="11" t="s">
        <v>295</v>
      </c>
      <c r="D196" s="11" t="s">
        <v>1707</v>
      </c>
      <c r="E196" s="11">
        <v>8.5838712134662667E-2</v>
      </c>
    </row>
    <row r="197" spans="1:5" ht="24.75">
      <c r="A197" s="11" t="s">
        <v>363</v>
      </c>
      <c r="B197" s="11" t="s">
        <v>233</v>
      </c>
      <c r="C197" s="11" t="s">
        <v>295</v>
      </c>
      <c r="D197" s="11" t="s">
        <v>1708</v>
      </c>
      <c r="E197" s="11">
        <v>8.132182010100493E-2</v>
      </c>
    </row>
    <row r="198" spans="1:5" ht="24.75">
      <c r="A198" s="11" t="s">
        <v>363</v>
      </c>
      <c r="B198" s="11" t="s">
        <v>233</v>
      </c>
      <c r="C198" s="11" t="s">
        <v>295</v>
      </c>
      <c r="D198" s="11" t="s">
        <v>1709</v>
      </c>
      <c r="E198" s="11">
        <v>0.18000000000000016</v>
      </c>
    </row>
    <row r="199" spans="1:5" ht="24.75">
      <c r="A199" s="11" t="s">
        <v>363</v>
      </c>
      <c r="B199" s="11" t="s">
        <v>233</v>
      </c>
      <c r="C199" s="11" t="s">
        <v>295</v>
      </c>
      <c r="D199" s="11" t="s">
        <v>1710</v>
      </c>
      <c r="E199" s="11">
        <v>8.2857905240207128E-2</v>
      </c>
    </row>
    <row r="200" spans="1:5" ht="24.75">
      <c r="A200" s="11" t="s">
        <v>363</v>
      </c>
      <c r="B200" s="11" t="s">
        <v>233</v>
      </c>
      <c r="C200" s="11" t="s">
        <v>295</v>
      </c>
      <c r="D200" s="11" t="s">
        <v>1711</v>
      </c>
      <c r="E200" s="11">
        <v>7.5662813807690646E-2</v>
      </c>
    </row>
    <row r="201" spans="1:5" ht="24.75">
      <c r="A201" s="11" t="s">
        <v>363</v>
      </c>
      <c r="B201" s="11" t="s">
        <v>233</v>
      </c>
      <c r="C201" s="11" t="s">
        <v>295</v>
      </c>
      <c r="D201" s="11" t="s">
        <v>1712</v>
      </c>
      <c r="E201" s="11">
        <v>0.18066331237723648</v>
      </c>
    </row>
    <row r="202" spans="1:5" ht="24.75">
      <c r="A202" s="11" t="s">
        <v>363</v>
      </c>
      <c r="B202" s="11" t="s">
        <v>233</v>
      </c>
      <c r="C202" s="11" t="s">
        <v>295</v>
      </c>
      <c r="D202" s="11" t="s">
        <v>1713</v>
      </c>
      <c r="E202" s="11">
        <v>6.5624999999999975E-2</v>
      </c>
    </row>
    <row r="203" spans="1:5" ht="24.75">
      <c r="A203" s="11" t="s">
        <v>363</v>
      </c>
      <c r="B203" s="11" t="s">
        <v>233</v>
      </c>
      <c r="C203" s="11" t="s">
        <v>295</v>
      </c>
      <c r="D203" s="11" t="s">
        <v>1714</v>
      </c>
      <c r="E203" s="11">
        <v>7.3751251498100884E-2</v>
      </c>
    </row>
    <row r="204" spans="1:5" ht="24.75">
      <c r="A204" s="11" t="s">
        <v>363</v>
      </c>
      <c r="B204" s="11" t="s">
        <v>233</v>
      </c>
      <c r="C204" s="11" t="s">
        <v>295</v>
      </c>
      <c r="D204" s="11" t="s">
        <v>1715</v>
      </c>
      <c r="E204" s="11">
        <v>7.36281428763194E-2</v>
      </c>
    </row>
    <row r="205" spans="1:5" ht="24.75">
      <c r="A205" s="11" t="s">
        <v>363</v>
      </c>
      <c r="B205" s="11" t="s">
        <v>233</v>
      </c>
      <c r="C205" s="11" t="s">
        <v>295</v>
      </c>
      <c r="D205" s="11" t="s">
        <v>1716</v>
      </c>
      <c r="E205" s="11">
        <v>0.46133401444927075</v>
      </c>
    </row>
    <row r="206" spans="1:5" ht="24.75">
      <c r="A206" s="11" t="s">
        <v>363</v>
      </c>
      <c r="B206" s="11" t="s">
        <v>233</v>
      </c>
      <c r="C206" s="11" t="s">
        <v>295</v>
      </c>
      <c r="D206" s="11" t="s">
        <v>1717</v>
      </c>
      <c r="E206" s="11">
        <v>0.32499999999999973</v>
      </c>
    </row>
    <row r="207" spans="1:5" ht="24.75">
      <c r="A207" s="11" t="s">
        <v>363</v>
      </c>
      <c r="B207" s="11" t="s">
        <v>233</v>
      </c>
      <c r="C207" s="11" t="s">
        <v>295</v>
      </c>
      <c r="D207" s="11" t="s">
        <v>1718</v>
      </c>
      <c r="E207" s="11">
        <v>0.5600000000000005</v>
      </c>
    </row>
    <row r="208" spans="1:5" ht="24.75">
      <c r="A208" s="11" t="s">
        <v>363</v>
      </c>
      <c r="B208" s="11" t="s">
        <v>233</v>
      </c>
      <c r="C208" s="11" t="s">
        <v>295</v>
      </c>
      <c r="D208" s="11" t="s">
        <v>1719</v>
      </c>
      <c r="E208" s="11">
        <v>0.17350057084692527</v>
      </c>
    </row>
    <row r="209" spans="1:5" ht="24.75">
      <c r="A209" s="11" t="s">
        <v>363</v>
      </c>
      <c r="B209" s="11" t="s">
        <v>233</v>
      </c>
      <c r="C209" s="11" t="s">
        <v>295</v>
      </c>
      <c r="D209" s="11" t="s">
        <v>1720</v>
      </c>
      <c r="E209" s="11">
        <v>5.9882999999999988</v>
      </c>
    </row>
    <row r="210" spans="1:5" ht="24.75">
      <c r="A210" s="11" t="s">
        <v>363</v>
      </c>
      <c r="B210" s="11" t="s">
        <v>233</v>
      </c>
      <c r="C210" s="11" t="s">
        <v>295</v>
      </c>
      <c r="D210" s="11" t="s">
        <v>1721</v>
      </c>
      <c r="E210" s="11">
        <v>5.9882999999999988</v>
      </c>
    </row>
    <row r="211" spans="1:5" ht="24.75">
      <c r="A211" s="11" t="s">
        <v>363</v>
      </c>
      <c r="B211" s="11" t="s">
        <v>233</v>
      </c>
      <c r="C211" s="11" t="s">
        <v>295</v>
      </c>
      <c r="D211" s="11" t="s">
        <v>1722</v>
      </c>
      <c r="E211" s="11">
        <v>5.9882999999999988</v>
      </c>
    </row>
    <row r="212" spans="1:5" ht="24.75">
      <c r="A212" s="11" t="s">
        <v>363</v>
      </c>
      <c r="B212" s="11" t="s">
        <v>233</v>
      </c>
      <c r="C212" s="11" t="s">
        <v>295</v>
      </c>
      <c r="D212" s="11" t="s">
        <v>1723</v>
      </c>
      <c r="E212" s="11">
        <v>5.9982999999999924</v>
      </c>
    </row>
    <row r="213" spans="1:5" ht="24.75">
      <c r="A213" s="11" t="s">
        <v>363</v>
      </c>
      <c r="B213" s="11" t="s">
        <v>233</v>
      </c>
      <c r="C213" s="11" t="s">
        <v>295</v>
      </c>
      <c r="D213" s="11" t="s">
        <v>1724</v>
      </c>
      <c r="E213" s="11">
        <v>5.9823684458720905</v>
      </c>
    </row>
    <row r="214" spans="1:5" ht="24.75">
      <c r="A214" s="11" t="s">
        <v>363</v>
      </c>
      <c r="B214" s="11" t="s">
        <v>233</v>
      </c>
      <c r="C214" s="11" t="s">
        <v>295</v>
      </c>
      <c r="D214" s="11" t="s">
        <v>1725</v>
      </c>
      <c r="E214" s="11">
        <v>5.7985739953474766</v>
      </c>
    </row>
    <row r="215" spans="1:5" ht="24.75">
      <c r="A215" s="11" t="s">
        <v>363</v>
      </c>
      <c r="B215" s="11" t="s">
        <v>233</v>
      </c>
      <c r="C215" s="11" t="s">
        <v>295</v>
      </c>
      <c r="D215" s="11" t="s">
        <v>1726</v>
      </c>
      <c r="E215" s="11">
        <v>2.2122645072265228</v>
      </c>
    </row>
    <row r="216" spans="1:5" ht="24.75">
      <c r="A216" s="11" t="s">
        <v>363</v>
      </c>
      <c r="B216" s="11" t="s">
        <v>233</v>
      </c>
      <c r="C216" s="11" t="s">
        <v>295</v>
      </c>
      <c r="D216" s="11" t="s">
        <v>1727</v>
      </c>
      <c r="E216" s="11">
        <v>0.21642366387040626</v>
      </c>
    </row>
    <row r="217" spans="1:5" ht="24.75">
      <c r="A217" s="11" t="s">
        <v>363</v>
      </c>
      <c r="B217" s="11" t="s">
        <v>233</v>
      </c>
      <c r="C217" s="11" t="s">
        <v>295</v>
      </c>
      <c r="D217" s="11" t="s">
        <v>1728</v>
      </c>
      <c r="E217" s="11">
        <v>5.8609852815614163</v>
      </c>
    </row>
    <row r="218" spans="1:5" ht="24.75">
      <c r="A218" s="11" t="s">
        <v>363</v>
      </c>
      <c r="B218" s="11" t="s">
        <v>233</v>
      </c>
      <c r="C218" s="11" t="s">
        <v>295</v>
      </c>
      <c r="D218" s="11" t="s">
        <v>1729</v>
      </c>
      <c r="E218" s="11">
        <v>0.14894692730742398</v>
      </c>
    </row>
    <row r="219" spans="1:5" ht="24.75">
      <c r="A219" s="11" t="s">
        <v>363</v>
      </c>
      <c r="B219" s="11" t="s">
        <v>233</v>
      </c>
      <c r="C219" s="11" t="s">
        <v>295</v>
      </c>
      <c r="D219" s="11" t="s">
        <v>1730</v>
      </c>
      <c r="E219" s="11">
        <v>1.8457999999999994</v>
      </c>
    </row>
    <row r="220" spans="1:5" ht="24.75">
      <c r="A220" s="11" t="s">
        <v>363</v>
      </c>
      <c r="B220" s="11" t="s">
        <v>233</v>
      </c>
      <c r="C220" s="11" t="s">
        <v>295</v>
      </c>
      <c r="D220" s="11" t="s">
        <v>1731</v>
      </c>
      <c r="E220" s="11">
        <v>2.5572914264147593</v>
      </c>
    </row>
    <row r="221" spans="1:5" ht="24.75">
      <c r="A221" s="11" t="s">
        <v>363</v>
      </c>
      <c r="B221" s="11" t="s">
        <v>233</v>
      </c>
      <c r="C221" s="11" t="s">
        <v>295</v>
      </c>
      <c r="D221" s="11" t="s">
        <v>1732</v>
      </c>
      <c r="E221" s="11">
        <v>3.8704021253127601</v>
      </c>
    </row>
    <row r="222" spans="1:5" ht="24.75">
      <c r="A222" s="11" t="s">
        <v>363</v>
      </c>
      <c r="B222" s="11" t="s">
        <v>233</v>
      </c>
      <c r="C222" s="11" t="s">
        <v>295</v>
      </c>
      <c r="D222" s="11" t="s">
        <v>1733</v>
      </c>
      <c r="E222" s="11">
        <v>5.8119949715545633</v>
      </c>
    </row>
    <row r="223" spans="1:5" ht="24.75">
      <c r="A223" s="11" t="s">
        <v>363</v>
      </c>
      <c r="B223" s="11" t="s">
        <v>233</v>
      </c>
      <c r="C223" s="11" t="s">
        <v>295</v>
      </c>
      <c r="D223" s="11" t="s">
        <v>1734</v>
      </c>
      <c r="E223" s="11">
        <v>12.590372537285322</v>
      </c>
    </row>
    <row r="224" spans="1:5" ht="24.75">
      <c r="A224" s="11" t="s">
        <v>363</v>
      </c>
      <c r="B224" s="11" t="s">
        <v>233</v>
      </c>
      <c r="C224" s="11" t="s">
        <v>295</v>
      </c>
      <c r="D224" s="11" t="s">
        <v>1735</v>
      </c>
      <c r="E224" s="11">
        <v>3.0017998459693409</v>
      </c>
    </row>
    <row r="225" spans="1:5" ht="24.75">
      <c r="A225" s="11" t="s">
        <v>363</v>
      </c>
      <c r="B225" s="11" t="s">
        <v>233</v>
      </c>
      <c r="C225" s="11" t="s">
        <v>295</v>
      </c>
      <c r="D225" s="11" t="s">
        <v>1736</v>
      </c>
      <c r="E225" s="11">
        <v>1.3572220979731171</v>
      </c>
    </row>
    <row r="226" spans="1:5" ht="24.75">
      <c r="A226" s="11" t="s">
        <v>363</v>
      </c>
      <c r="B226" s="11" t="s">
        <v>233</v>
      </c>
      <c r="C226" s="11" t="s">
        <v>295</v>
      </c>
      <c r="D226" s="11" t="s">
        <v>1737</v>
      </c>
      <c r="E226" s="11">
        <v>0.34531617811364429</v>
      </c>
    </row>
    <row r="227" spans="1:5" ht="24.75">
      <c r="A227" s="11" t="s">
        <v>363</v>
      </c>
      <c r="B227" s="11" t="s">
        <v>233</v>
      </c>
      <c r="C227" s="11" t="s">
        <v>295</v>
      </c>
      <c r="D227" s="11" t="s">
        <v>1738</v>
      </c>
      <c r="E227" s="11">
        <v>0.14014060532331829</v>
      </c>
    </row>
    <row r="228" spans="1:5" ht="24.75">
      <c r="A228" s="11" t="s">
        <v>363</v>
      </c>
      <c r="B228" s="11" t="s">
        <v>233</v>
      </c>
      <c r="C228" s="11" t="s">
        <v>295</v>
      </c>
      <c r="D228" s="11" t="s">
        <v>1739</v>
      </c>
      <c r="E228" s="11">
        <v>0.39651382188635803</v>
      </c>
    </row>
    <row r="229" spans="1:5" ht="24.75">
      <c r="A229" s="11" t="s">
        <v>363</v>
      </c>
      <c r="B229" s="11" t="s">
        <v>233</v>
      </c>
      <c r="C229" s="11" t="s">
        <v>295</v>
      </c>
      <c r="D229" s="11" t="s">
        <v>1740</v>
      </c>
      <c r="E229" s="11">
        <v>3.4387007559558453</v>
      </c>
    </row>
    <row r="230" spans="1:5" ht="24.75">
      <c r="A230" s="11" t="s">
        <v>363</v>
      </c>
      <c r="B230" s="11" t="s">
        <v>233</v>
      </c>
      <c r="C230" s="11" t="s">
        <v>295</v>
      </c>
      <c r="D230" s="11" t="s">
        <v>1741</v>
      </c>
      <c r="E230" s="11">
        <v>0.22999999999999476</v>
      </c>
    </row>
    <row r="231" spans="1:5" ht="24.75">
      <c r="A231" s="11" t="s">
        <v>363</v>
      </c>
      <c r="B231" s="11" t="s">
        <v>233</v>
      </c>
      <c r="C231" s="11" t="s">
        <v>295</v>
      </c>
      <c r="D231" s="11" t="s">
        <v>1742</v>
      </c>
      <c r="E231" s="11">
        <v>5.7568314988874176</v>
      </c>
    </row>
    <row r="232" spans="1:5" ht="24.75">
      <c r="A232" s="11" t="s">
        <v>363</v>
      </c>
      <c r="B232" s="11" t="s">
        <v>233</v>
      </c>
      <c r="C232" s="11" t="s">
        <v>295</v>
      </c>
      <c r="D232" s="11" t="s">
        <v>1743</v>
      </c>
      <c r="E232" s="11">
        <v>2.4737499412701864</v>
      </c>
    </row>
    <row r="233" spans="1:5" ht="24.75">
      <c r="A233" s="11" t="s">
        <v>363</v>
      </c>
      <c r="B233" s="11" t="s">
        <v>233</v>
      </c>
      <c r="C233" s="11" t="s">
        <v>295</v>
      </c>
      <c r="D233" s="11" t="s">
        <v>1744</v>
      </c>
      <c r="E233" s="11">
        <v>1.0401525741988669</v>
      </c>
    </row>
    <row r="234" spans="1:5" ht="24.75">
      <c r="A234" s="11" t="s">
        <v>363</v>
      </c>
      <c r="B234" s="11" t="s">
        <v>233</v>
      </c>
      <c r="C234" s="11" t="s">
        <v>295</v>
      </c>
      <c r="D234" s="11" t="s">
        <v>1745</v>
      </c>
      <c r="E234" s="11">
        <v>0.578157307330329</v>
      </c>
    </row>
    <row r="235" spans="1:5" ht="24.75">
      <c r="A235" s="11" t="s">
        <v>363</v>
      </c>
      <c r="B235" s="11" t="s">
        <v>233</v>
      </c>
      <c r="C235" s="11" t="s">
        <v>295</v>
      </c>
      <c r="D235" s="11" t="s">
        <v>1746</v>
      </c>
      <c r="E235" s="11">
        <v>5.6571501669442616</v>
      </c>
    </row>
    <row r="236" spans="1:5" ht="24.75">
      <c r="A236" s="11" t="s">
        <v>363</v>
      </c>
      <c r="B236" s="11" t="s">
        <v>233</v>
      </c>
      <c r="C236" s="11" t="s">
        <v>295</v>
      </c>
      <c r="D236" s="11" t="s">
        <v>1747</v>
      </c>
      <c r="E236" s="11">
        <v>4.9834242890615874</v>
      </c>
    </row>
    <row r="237" spans="1:5" ht="24.75">
      <c r="A237" s="11" t="s">
        <v>363</v>
      </c>
      <c r="B237" s="11" t="s">
        <v>233</v>
      </c>
      <c r="C237" s="11" t="s">
        <v>295</v>
      </c>
      <c r="D237" s="11" t="s">
        <v>1748</v>
      </c>
      <c r="E237" s="11">
        <v>0.42575506160000942</v>
      </c>
    </row>
    <row r="238" spans="1:5" ht="24.75">
      <c r="A238" s="11" t="s">
        <v>363</v>
      </c>
      <c r="B238" s="11" t="s">
        <v>233</v>
      </c>
      <c r="C238" s="11" t="s">
        <v>295</v>
      </c>
      <c r="D238" s="11" t="s">
        <v>1749</v>
      </c>
      <c r="E238" s="11">
        <v>0.21438465914193461</v>
      </c>
    </row>
    <row r="239" spans="1:5" ht="24.75">
      <c r="A239" s="11" t="s">
        <v>363</v>
      </c>
      <c r="B239" s="11" t="s">
        <v>233</v>
      </c>
      <c r="C239" s="11" t="s">
        <v>295</v>
      </c>
      <c r="D239" s="11" t="s">
        <v>1750</v>
      </c>
      <c r="E239" s="11">
        <v>2.0893519035281205</v>
      </c>
    </row>
    <row r="240" spans="1:5" ht="24.75">
      <c r="A240" s="11" t="s">
        <v>363</v>
      </c>
      <c r="B240" s="11" t="s">
        <v>233</v>
      </c>
      <c r="C240" s="11" t="s">
        <v>295</v>
      </c>
      <c r="D240" s="11" t="s">
        <v>1751</v>
      </c>
      <c r="E240" s="11">
        <v>2.2338067091377751</v>
      </c>
    </row>
    <row r="241" spans="1:5" ht="24.75">
      <c r="A241" s="11" t="s">
        <v>363</v>
      </c>
      <c r="B241" s="11" t="s">
        <v>233</v>
      </c>
      <c r="C241" s="11" t="s">
        <v>295</v>
      </c>
      <c r="D241" s="11" t="s">
        <v>1752</v>
      </c>
      <c r="E241" s="11">
        <v>4.4316749092952765</v>
      </c>
    </row>
    <row r="242" spans="1:5" ht="24.75">
      <c r="A242" s="11" t="s">
        <v>363</v>
      </c>
      <c r="B242" s="11" t="s">
        <v>233</v>
      </c>
      <c r="C242" s="11" t="s">
        <v>295</v>
      </c>
      <c r="D242" s="11" t="s">
        <v>1753</v>
      </c>
      <c r="E242" s="11">
        <v>2.1687500000000144</v>
      </c>
    </row>
    <row r="243" spans="1:5" ht="24.75">
      <c r="A243" s="11" t="s">
        <v>363</v>
      </c>
      <c r="B243" s="11" t="s">
        <v>233</v>
      </c>
      <c r="C243" s="11" t="s">
        <v>295</v>
      </c>
      <c r="D243" s="11" t="s">
        <v>1754</v>
      </c>
      <c r="E243" s="11">
        <v>2.078448502691554</v>
      </c>
    </row>
    <row r="244" spans="1:5" ht="24.75">
      <c r="A244" s="11" t="s">
        <v>363</v>
      </c>
      <c r="B244" s="11" t="s">
        <v>233</v>
      </c>
      <c r="C244" s="11" t="s">
        <v>295</v>
      </c>
      <c r="D244" s="11" t="s">
        <v>1755</v>
      </c>
      <c r="E244" s="11">
        <v>2.4369303665047344</v>
      </c>
    </row>
    <row r="245" spans="1:5" ht="24.75">
      <c r="A245" s="11" t="s">
        <v>363</v>
      </c>
      <c r="B245" s="11" t="s">
        <v>233</v>
      </c>
      <c r="C245" s="11" t="s">
        <v>295</v>
      </c>
      <c r="D245" s="11" t="s">
        <v>1756</v>
      </c>
      <c r="E245" s="11">
        <v>3.4641998167079131</v>
      </c>
    </row>
    <row r="246" spans="1:5" ht="24.75">
      <c r="A246" s="11" t="s">
        <v>363</v>
      </c>
      <c r="B246" s="11" t="s">
        <v>233</v>
      </c>
      <c r="C246" s="11" t="s">
        <v>295</v>
      </c>
      <c r="D246" s="11" t="s">
        <v>1757</v>
      </c>
      <c r="E246" s="11">
        <v>0.17249999999997756</v>
      </c>
    </row>
    <row r="247" spans="1:5" ht="24.75">
      <c r="A247" s="11" t="s">
        <v>363</v>
      </c>
      <c r="B247" s="11" t="s">
        <v>233</v>
      </c>
      <c r="C247" s="11" t="s">
        <v>295</v>
      </c>
      <c r="D247" s="11" t="s">
        <v>1758</v>
      </c>
      <c r="E247" s="11">
        <v>0.95516116667828144</v>
      </c>
    </row>
    <row r="248" spans="1:5" ht="24.75">
      <c r="A248" s="11" t="s">
        <v>363</v>
      </c>
      <c r="B248" s="11" t="s">
        <v>233</v>
      </c>
      <c r="C248" s="11" t="s">
        <v>295</v>
      </c>
      <c r="D248" s="11" t="s">
        <v>1759</v>
      </c>
      <c r="E248" s="11">
        <v>0.16263000000000397</v>
      </c>
    </row>
    <row r="249" spans="1:5" ht="24.75">
      <c r="A249" s="11" t="s">
        <v>363</v>
      </c>
      <c r="B249" s="11" t="s">
        <v>233</v>
      </c>
      <c r="C249" s="11" t="s">
        <v>295</v>
      </c>
      <c r="D249" s="11" t="s">
        <v>1760</v>
      </c>
      <c r="E249" s="11">
        <v>0.21935422823462336</v>
      </c>
    </row>
    <row r="250" spans="1:5" ht="24.75">
      <c r="A250" s="11" t="s">
        <v>363</v>
      </c>
      <c r="B250" s="11" t="s">
        <v>233</v>
      </c>
      <c r="C250" s="11" t="s">
        <v>295</v>
      </c>
      <c r="D250" s="11" t="s">
        <v>1761</v>
      </c>
      <c r="E250" s="11">
        <v>0.44651382188635852</v>
      </c>
    </row>
    <row r="251" spans="1:5" ht="24.75">
      <c r="A251" s="11" t="s">
        <v>363</v>
      </c>
      <c r="B251" s="11" t="s">
        <v>233</v>
      </c>
      <c r="C251" s="11" t="s">
        <v>295</v>
      </c>
      <c r="D251" s="11" t="s">
        <v>1762</v>
      </c>
      <c r="E251" s="11">
        <v>0.66754988247847746</v>
      </c>
    </row>
    <row r="252" spans="1:5" ht="24.75">
      <c r="A252" s="11" t="s">
        <v>363</v>
      </c>
      <c r="B252" s="11" t="s">
        <v>233</v>
      </c>
      <c r="C252" s="11" t="s">
        <v>295</v>
      </c>
      <c r="D252" s="11" t="s">
        <v>1763</v>
      </c>
      <c r="E252" s="11">
        <v>0.8254499999999978</v>
      </c>
    </row>
    <row r="253" spans="1:5" ht="24.75">
      <c r="A253" s="11" t="s">
        <v>363</v>
      </c>
      <c r="B253" s="11" t="s">
        <v>233</v>
      </c>
      <c r="C253" s="11" t="s">
        <v>295</v>
      </c>
      <c r="D253" s="11" t="s">
        <v>1764</v>
      </c>
      <c r="E253" s="11">
        <v>0.53191664938728711</v>
      </c>
    </row>
    <row r="254" spans="1:5" ht="24.75">
      <c r="A254" s="11" t="s">
        <v>363</v>
      </c>
      <c r="B254" s="11" t="s">
        <v>233</v>
      </c>
      <c r="C254" s="11" t="s">
        <v>295</v>
      </c>
      <c r="D254" s="11" t="s">
        <v>1765</v>
      </c>
      <c r="E254" s="11">
        <v>0.64708363432697469</v>
      </c>
    </row>
    <row r="255" spans="1:5" ht="24.75">
      <c r="A255" s="11" t="s">
        <v>363</v>
      </c>
      <c r="B255" s="11" t="s">
        <v>233</v>
      </c>
      <c r="C255" s="11" t="s">
        <v>295</v>
      </c>
      <c r="D255" s="11" t="s">
        <v>1766</v>
      </c>
      <c r="E255" s="11">
        <v>0.64708363432697413</v>
      </c>
    </row>
    <row r="256" spans="1:5" ht="24.75">
      <c r="A256" s="11" t="s">
        <v>363</v>
      </c>
      <c r="B256" s="11" t="s">
        <v>233</v>
      </c>
      <c r="C256" s="11" t="s">
        <v>295</v>
      </c>
      <c r="D256" s="11" t="s">
        <v>1767</v>
      </c>
      <c r="E256" s="11">
        <v>0.60354142727337667</v>
      </c>
    </row>
    <row r="257" spans="1:5" ht="24.75">
      <c r="A257" s="11" t="s">
        <v>363</v>
      </c>
      <c r="B257" s="11" t="s">
        <v>233</v>
      </c>
      <c r="C257" s="11" t="s">
        <v>295</v>
      </c>
      <c r="D257" s="11" t="s">
        <v>1768</v>
      </c>
      <c r="E257" s="11">
        <v>1.4018213186867641</v>
      </c>
    </row>
    <row r="258" spans="1:5" ht="24.75">
      <c r="A258" s="11" t="s">
        <v>363</v>
      </c>
      <c r="B258" s="11" t="s">
        <v>233</v>
      </c>
      <c r="C258" s="11" t="s">
        <v>295</v>
      </c>
      <c r="D258" s="11" t="s">
        <v>1769</v>
      </c>
      <c r="E258" s="11">
        <v>1.6040311504109861</v>
      </c>
    </row>
    <row r="259" spans="1:5" ht="24.75">
      <c r="A259" s="11" t="s">
        <v>363</v>
      </c>
      <c r="B259" s="11" t="s">
        <v>233</v>
      </c>
      <c r="C259" s="11" t="s">
        <v>295</v>
      </c>
      <c r="D259" s="11" t="s">
        <v>1770</v>
      </c>
      <c r="E259" s="11">
        <v>1.4704582676798761</v>
      </c>
    </row>
    <row r="260" spans="1:5" ht="24.75">
      <c r="A260" s="11" t="s">
        <v>363</v>
      </c>
      <c r="B260" s="11" t="s">
        <v>233</v>
      </c>
      <c r="C260" s="11" t="s">
        <v>295</v>
      </c>
      <c r="D260" s="11" t="s">
        <v>1771</v>
      </c>
      <c r="E260" s="11">
        <v>0.80802415066963018</v>
      </c>
    </row>
    <row r="261" spans="1:5">
      <c r="A261" s="1" t="s">
        <v>207</v>
      </c>
      <c r="B261" s="1" t="s">
        <v>207</v>
      </c>
      <c r="C261" s="1">
        <f>SUBTOTAL(103,Elements132221[Elemento])</f>
        <v>254</v>
      </c>
      <c r="D261" s="1" t="s">
        <v>207</v>
      </c>
      <c r="E261" s="1">
        <f>SUBTOTAL(109,Elements132221[Totais:])</f>
        <v>313.93801804655976</v>
      </c>
    </row>
  </sheetData>
  <mergeCells count="3">
    <mergeCell ref="A1:E2"/>
    <mergeCell ref="A4:E4"/>
    <mergeCell ref="A5:E5"/>
  </mergeCells>
  <hyperlinks>
    <hyperlink ref="A1" location="'13.2.22'!A1" display="TUBO DE PVC RIGIDO SOLDAVEL,PARA AGUA FRIA, COM DIAMETRO DE 60MM.FORNECIMENTO" xr:uid="{00000000-0004-0000-4900-000000000000}"/>
    <hyperlink ref="B1" location="'13.2.22'!A1" display="TUBO DE PVC RIGIDO SOLDAVEL,PARA AGUA FRIA, COM DIAMETRO DE 60MM.FORNECIMENTO" xr:uid="{00000000-0004-0000-4900-000001000000}"/>
    <hyperlink ref="C1" location="'13.2.22'!A1" display="TUBO DE PVC RIGIDO SOLDAVEL,PARA AGUA FRIA, COM DIAMETRO DE 60MM.FORNECIMENTO" xr:uid="{00000000-0004-0000-4900-000002000000}"/>
    <hyperlink ref="D1" location="'13.2.22'!A1" display="TUBO DE PVC RIGIDO SOLDAVEL,PARA AGUA FRIA, COM DIAMETRO DE 60MM.FORNECIMENTO" xr:uid="{00000000-0004-0000-4900-000003000000}"/>
    <hyperlink ref="E1" location="'13.2.22'!A1" display="TUBO DE PVC RIGIDO SOLDAVEL,PARA AGUA FRIA, COM DIAMETRO DE 60MM.FORNECIMENTO" xr:uid="{00000000-0004-0000-4900-000004000000}"/>
    <hyperlink ref="A2" location="'13.2.22'!A1" display="TUBO DE PVC RIGIDO SOLDAVEL,PARA AGUA FRIA, COM DIAMETRO DE 60MM.FORNECIMENTO" xr:uid="{00000000-0004-0000-4900-000005000000}"/>
    <hyperlink ref="B2" location="'13.2.22'!A1" display="TUBO DE PVC RIGIDO SOLDAVEL,PARA AGUA FRIA, COM DIAMETRO DE 60MM.FORNECIMENTO" xr:uid="{00000000-0004-0000-4900-000006000000}"/>
    <hyperlink ref="C2" location="'13.2.22'!A1" display="TUBO DE PVC RIGIDO SOLDAVEL,PARA AGUA FRIA, COM DIAMETRO DE 60MM.FORNECIMENTO" xr:uid="{00000000-0004-0000-4900-000007000000}"/>
    <hyperlink ref="D2" location="'13.2.22'!A1" display="TUBO DE PVC RIGIDO SOLDAVEL,PARA AGUA FRIA, COM DIAMETRO DE 60MM.FORNECIMENTO" xr:uid="{00000000-0004-0000-4900-000008000000}"/>
    <hyperlink ref="E2" location="'13.2.22'!A1" display="TUBO DE PVC RIGIDO SOLDAVEL,PARA AGUA FRIA, COM DIAMETRO DE 60MM.FORNECIMENTO" xr:uid="{00000000-0004-0000-4900-000009000000}"/>
    <hyperlink ref="A4" location="'13.2.22'!A1" display="Tubulação (Comprimento)" xr:uid="{00000000-0004-0000-4900-00000A000000}"/>
    <hyperlink ref="B4" location="'13.2.22'!A1" display="Tubulação (Comprimento)" xr:uid="{00000000-0004-0000-4900-00000B000000}"/>
    <hyperlink ref="C4" location="'13.2.22'!A1" display="Tubulação (Comprimento)" xr:uid="{00000000-0004-0000-4900-00000C000000}"/>
    <hyperlink ref="D4" location="'13.2.22'!A1" display="Tubulação (Comprimento)" xr:uid="{00000000-0004-0000-4900-00000D000000}"/>
    <hyperlink ref="E4" location="'13.2.22'!A1" display="Tubulação (Comprimento)" xr:uid="{00000000-0004-0000-49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dimension ref="A1:E324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103</v>
      </c>
      <c r="B1" s="23" t="s">
        <v>103</v>
      </c>
      <c r="C1" s="23" t="s">
        <v>103</v>
      </c>
      <c r="D1" s="23" t="s">
        <v>103</v>
      </c>
      <c r="E1" s="23" t="s">
        <v>103</v>
      </c>
    </row>
    <row r="2" spans="1:5">
      <c r="A2" s="23" t="s">
        <v>103</v>
      </c>
      <c r="B2" s="23" t="s">
        <v>103</v>
      </c>
      <c r="C2" s="23" t="s">
        <v>103</v>
      </c>
      <c r="D2" s="23" t="s">
        <v>103</v>
      </c>
      <c r="E2" s="23" t="s">
        <v>103</v>
      </c>
    </row>
    <row r="4" spans="1:5">
      <c r="A4" s="18" t="s">
        <v>288</v>
      </c>
      <c r="B4" s="18" t="s">
        <v>288</v>
      </c>
      <c r="C4" s="18" t="s">
        <v>288</v>
      </c>
      <c r="D4" s="18" t="s">
        <v>288</v>
      </c>
      <c r="E4" s="18" t="s">
        <v>288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295</v>
      </c>
      <c r="D7" s="11" t="s">
        <v>1772</v>
      </c>
      <c r="E7" s="11">
        <v>7.0960000870661941E-2</v>
      </c>
    </row>
    <row r="8" spans="1:5" ht="24.75">
      <c r="A8" s="11" t="s">
        <v>363</v>
      </c>
      <c r="B8" s="11" t="s">
        <v>233</v>
      </c>
      <c r="C8" s="11" t="s">
        <v>295</v>
      </c>
      <c r="D8" s="11" t="s">
        <v>1773</v>
      </c>
      <c r="E8" s="11">
        <v>0.42212000584051956</v>
      </c>
    </row>
    <row r="9" spans="1:5" ht="24.75">
      <c r="A9" s="11" t="s">
        <v>363</v>
      </c>
      <c r="B9" s="11" t="s">
        <v>233</v>
      </c>
      <c r="C9" s="11" t="s">
        <v>295</v>
      </c>
      <c r="D9" s="11" t="s">
        <v>1774</v>
      </c>
      <c r="E9" s="11">
        <v>0.42211999413586559</v>
      </c>
    </row>
    <row r="10" spans="1:5" ht="24.75">
      <c r="A10" s="11" t="s">
        <v>363</v>
      </c>
      <c r="B10" s="11" t="s">
        <v>233</v>
      </c>
      <c r="C10" s="11" t="s">
        <v>295</v>
      </c>
      <c r="D10" s="11" t="s">
        <v>1775</v>
      </c>
      <c r="E10" s="11">
        <v>0.62339213263704341</v>
      </c>
    </row>
    <row r="11" spans="1:5" ht="24.75">
      <c r="A11" s="11" t="s">
        <v>363</v>
      </c>
      <c r="B11" s="11" t="s">
        <v>233</v>
      </c>
      <c r="C11" s="11" t="s">
        <v>295</v>
      </c>
      <c r="D11" s="11" t="s">
        <v>1776</v>
      </c>
      <c r="E11" s="11">
        <v>8.1289547731430836E-2</v>
      </c>
    </row>
    <row r="12" spans="1:5" ht="24.75">
      <c r="A12" s="11" t="s">
        <v>363</v>
      </c>
      <c r="B12" s="11" t="s">
        <v>233</v>
      </c>
      <c r="C12" s="11" t="s">
        <v>295</v>
      </c>
      <c r="D12" s="11" t="s">
        <v>1777</v>
      </c>
      <c r="E12" s="11">
        <v>0.29698434070169621</v>
      </c>
    </row>
    <row r="13" spans="1:5" ht="24.75">
      <c r="A13" s="11" t="s">
        <v>363</v>
      </c>
      <c r="B13" s="11" t="s">
        <v>233</v>
      </c>
      <c r="C13" s="11" t="s">
        <v>295</v>
      </c>
      <c r="D13" s="11" t="s">
        <v>1778</v>
      </c>
      <c r="E13" s="11">
        <v>8.5900001491113723E-2</v>
      </c>
    </row>
    <row r="14" spans="1:5" ht="24.75">
      <c r="A14" s="11" t="s">
        <v>363</v>
      </c>
      <c r="B14" s="11" t="s">
        <v>233</v>
      </c>
      <c r="C14" s="11" t="s">
        <v>295</v>
      </c>
      <c r="D14" s="11" t="s">
        <v>1779</v>
      </c>
      <c r="E14" s="11">
        <v>1.4724713288018578</v>
      </c>
    </row>
    <row r="15" spans="1:5" ht="24.75">
      <c r="A15" s="11" t="s">
        <v>363</v>
      </c>
      <c r="B15" s="11" t="s">
        <v>233</v>
      </c>
      <c r="C15" s="11" t="s">
        <v>295</v>
      </c>
      <c r="D15" s="11" t="s">
        <v>1780</v>
      </c>
      <c r="E15" s="11">
        <v>0.68544185974666549</v>
      </c>
    </row>
    <row r="16" spans="1:5" ht="24.75">
      <c r="A16" s="11" t="s">
        <v>363</v>
      </c>
      <c r="B16" s="11" t="s">
        <v>233</v>
      </c>
      <c r="C16" s="11" t="s">
        <v>295</v>
      </c>
      <c r="D16" s="11" t="s">
        <v>1781</v>
      </c>
      <c r="E16" s="11">
        <v>9.1730729420006235E-2</v>
      </c>
    </row>
    <row r="17" spans="1:5" ht="24.75">
      <c r="A17" s="11" t="s">
        <v>363</v>
      </c>
      <c r="B17" s="11" t="s">
        <v>233</v>
      </c>
      <c r="C17" s="11" t="s">
        <v>295</v>
      </c>
      <c r="D17" s="11" t="s">
        <v>1782</v>
      </c>
      <c r="E17" s="11">
        <v>7.5660491464575612</v>
      </c>
    </row>
    <row r="18" spans="1:5" ht="24.75">
      <c r="A18" s="11" t="s">
        <v>363</v>
      </c>
      <c r="B18" s="11" t="s">
        <v>233</v>
      </c>
      <c r="C18" s="11" t="s">
        <v>295</v>
      </c>
      <c r="D18" s="11" t="s">
        <v>1783</v>
      </c>
      <c r="E18" s="11">
        <v>9.5275050627554564E-2</v>
      </c>
    </row>
    <row r="19" spans="1:5" ht="24.75">
      <c r="A19" s="11" t="s">
        <v>363</v>
      </c>
      <c r="B19" s="11" t="s">
        <v>233</v>
      </c>
      <c r="C19" s="11" t="s">
        <v>295</v>
      </c>
      <c r="D19" s="11" t="s">
        <v>1784</v>
      </c>
      <c r="E19" s="11">
        <v>9.5275063009787511E-2</v>
      </c>
    </row>
    <row r="20" spans="1:5" ht="24.75">
      <c r="A20" s="11" t="s">
        <v>363</v>
      </c>
      <c r="B20" s="11" t="s">
        <v>233</v>
      </c>
      <c r="C20" s="11" t="s">
        <v>295</v>
      </c>
      <c r="D20" s="11" t="s">
        <v>1785</v>
      </c>
      <c r="E20" s="11">
        <v>0.22500158922015695</v>
      </c>
    </row>
    <row r="21" spans="1:5" ht="24.75">
      <c r="A21" s="11" t="s">
        <v>363</v>
      </c>
      <c r="B21" s="11" t="s">
        <v>233</v>
      </c>
      <c r="C21" s="11" t="s">
        <v>295</v>
      </c>
      <c r="D21" s="11" t="s">
        <v>1786</v>
      </c>
      <c r="E21" s="11">
        <v>7.0960000000029458E-2</v>
      </c>
    </row>
    <row r="22" spans="1:5" ht="24.75">
      <c r="A22" s="11" t="s">
        <v>363</v>
      </c>
      <c r="B22" s="11" t="s">
        <v>233</v>
      </c>
      <c r="C22" s="11" t="s">
        <v>295</v>
      </c>
      <c r="D22" s="11" t="s">
        <v>1787</v>
      </c>
      <c r="E22" s="11">
        <v>0.38054519498196521</v>
      </c>
    </row>
    <row r="23" spans="1:5" ht="24.75">
      <c r="A23" s="11" t="s">
        <v>363</v>
      </c>
      <c r="B23" s="11" t="s">
        <v>233</v>
      </c>
      <c r="C23" s="11" t="s">
        <v>295</v>
      </c>
      <c r="D23" s="11" t="s">
        <v>1788</v>
      </c>
      <c r="E23" s="11">
        <v>0.37524522886019335</v>
      </c>
    </row>
    <row r="24" spans="1:5" ht="24.75">
      <c r="A24" s="11" t="s">
        <v>363</v>
      </c>
      <c r="B24" s="11" t="s">
        <v>233</v>
      </c>
      <c r="C24" s="11" t="s">
        <v>295</v>
      </c>
      <c r="D24" s="11" t="s">
        <v>1789</v>
      </c>
      <c r="E24" s="11">
        <v>8.4800000000007661E-2</v>
      </c>
    </row>
    <row r="25" spans="1:5" ht="24.75">
      <c r="A25" s="11" t="s">
        <v>363</v>
      </c>
      <c r="B25" s="11" t="s">
        <v>233</v>
      </c>
      <c r="C25" s="11" t="s">
        <v>295</v>
      </c>
      <c r="D25" s="11" t="s">
        <v>1790</v>
      </c>
      <c r="E25" s="11">
        <v>8.4800000000002013E-2</v>
      </c>
    </row>
    <row r="26" spans="1:5" ht="24.75">
      <c r="A26" s="11" t="s">
        <v>363</v>
      </c>
      <c r="B26" s="11" t="s">
        <v>233</v>
      </c>
      <c r="C26" s="11" t="s">
        <v>295</v>
      </c>
      <c r="D26" s="11" t="s">
        <v>1791</v>
      </c>
      <c r="E26" s="11">
        <v>8.4800048338368225E-2</v>
      </c>
    </row>
    <row r="27" spans="1:5" ht="24.75">
      <c r="A27" s="11" t="s">
        <v>363</v>
      </c>
      <c r="B27" s="11" t="s">
        <v>233</v>
      </c>
      <c r="C27" s="11" t="s">
        <v>295</v>
      </c>
      <c r="D27" s="11" t="s">
        <v>1792</v>
      </c>
      <c r="E27" s="11">
        <v>7.6259925511575663E-2</v>
      </c>
    </row>
    <row r="28" spans="1:5" ht="24.75">
      <c r="A28" s="11" t="s">
        <v>363</v>
      </c>
      <c r="B28" s="11" t="s">
        <v>233</v>
      </c>
      <c r="C28" s="11" t="s">
        <v>295</v>
      </c>
      <c r="D28" s="11" t="s">
        <v>1793</v>
      </c>
      <c r="E28" s="11">
        <v>0.80712004858607422</v>
      </c>
    </row>
    <row r="29" spans="1:5" ht="24.75">
      <c r="A29" s="11" t="s">
        <v>363</v>
      </c>
      <c r="B29" s="11" t="s">
        <v>233</v>
      </c>
      <c r="C29" s="11" t="s">
        <v>295</v>
      </c>
      <c r="D29" s="11" t="s">
        <v>1794</v>
      </c>
      <c r="E29" s="11">
        <v>0.65711994969215148</v>
      </c>
    </row>
    <row r="30" spans="1:5" ht="24.75">
      <c r="A30" s="11" t="s">
        <v>363</v>
      </c>
      <c r="B30" s="11" t="s">
        <v>233</v>
      </c>
      <c r="C30" s="11" t="s">
        <v>295</v>
      </c>
      <c r="D30" s="11" t="s">
        <v>1795</v>
      </c>
      <c r="E30" s="11">
        <v>6.6335628593362089E-2</v>
      </c>
    </row>
    <row r="31" spans="1:5" ht="24.75">
      <c r="A31" s="11" t="s">
        <v>363</v>
      </c>
      <c r="B31" s="11" t="s">
        <v>233</v>
      </c>
      <c r="C31" s="11" t="s">
        <v>295</v>
      </c>
      <c r="D31" s="11" t="s">
        <v>1796</v>
      </c>
      <c r="E31" s="11">
        <v>0.14356000000000049</v>
      </c>
    </row>
    <row r="32" spans="1:5" ht="24.75">
      <c r="A32" s="11" t="s">
        <v>363</v>
      </c>
      <c r="B32" s="11" t="s">
        <v>233</v>
      </c>
      <c r="C32" s="11" t="s">
        <v>295</v>
      </c>
      <c r="D32" s="11" t="s">
        <v>1797</v>
      </c>
      <c r="E32" s="11">
        <v>0.40532242061370971</v>
      </c>
    </row>
    <row r="33" spans="1:5" ht="24.75">
      <c r="A33" s="11" t="s">
        <v>363</v>
      </c>
      <c r="B33" s="11" t="s">
        <v>233</v>
      </c>
      <c r="C33" s="11" t="s">
        <v>295</v>
      </c>
      <c r="D33" s="11" t="s">
        <v>1798</v>
      </c>
      <c r="E33" s="11">
        <v>1.8613999999999977</v>
      </c>
    </row>
    <row r="34" spans="1:5" ht="24.75">
      <c r="A34" s="11" t="s">
        <v>363</v>
      </c>
      <c r="B34" s="11" t="s">
        <v>233</v>
      </c>
      <c r="C34" s="11" t="s">
        <v>295</v>
      </c>
      <c r="D34" s="11" t="s">
        <v>1799</v>
      </c>
      <c r="E34" s="11">
        <v>0.17412499999999886</v>
      </c>
    </row>
    <row r="35" spans="1:5" ht="24.75">
      <c r="A35" s="11" t="s">
        <v>363</v>
      </c>
      <c r="B35" s="11" t="s">
        <v>233</v>
      </c>
      <c r="C35" s="11" t="s">
        <v>295</v>
      </c>
      <c r="D35" s="11" t="s">
        <v>1800</v>
      </c>
      <c r="E35" s="11">
        <v>0.88206000000000373</v>
      </c>
    </row>
    <row r="36" spans="1:5" ht="24.75">
      <c r="A36" s="11" t="s">
        <v>363</v>
      </c>
      <c r="B36" s="11" t="s">
        <v>233</v>
      </c>
      <c r="C36" s="11" t="s">
        <v>295</v>
      </c>
      <c r="D36" s="11" t="s">
        <v>1801</v>
      </c>
      <c r="E36" s="11">
        <v>0.23499999999999963</v>
      </c>
    </row>
    <row r="37" spans="1:5" ht="24.75">
      <c r="A37" s="11" t="s">
        <v>363</v>
      </c>
      <c r="B37" s="11" t="s">
        <v>233</v>
      </c>
      <c r="C37" s="11" t="s">
        <v>295</v>
      </c>
      <c r="D37" s="11" t="s">
        <v>1802</v>
      </c>
      <c r="E37" s="11">
        <v>0.31355999999999978</v>
      </c>
    </row>
    <row r="38" spans="1:5" ht="24.75">
      <c r="A38" s="11" t="s">
        <v>363</v>
      </c>
      <c r="B38" s="11" t="s">
        <v>233</v>
      </c>
      <c r="C38" s="11" t="s">
        <v>295</v>
      </c>
      <c r="D38" s="11" t="s">
        <v>1803</v>
      </c>
      <c r="E38" s="11">
        <v>0.43845273107089033</v>
      </c>
    </row>
    <row r="39" spans="1:5" ht="24.75">
      <c r="A39" s="11" t="s">
        <v>363</v>
      </c>
      <c r="B39" s="11" t="s">
        <v>233</v>
      </c>
      <c r="C39" s="11" t="s">
        <v>295</v>
      </c>
      <c r="D39" s="11" t="s">
        <v>1804</v>
      </c>
      <c r="E39" s="11">
        <v>0.41211081088400381</v>
      </c>
    </row>
    <row r="40" spans="1:5" ht="24.75">
      <c r="A40" s="11" t="s">
        <v>363</v>
      </c>
      <c r="B40" s="11" t="s">
        <v>233</v>
      </c>
      <c r="C40" s="11" t="s">
        <v>295</v>
      </c>
      <c r="D40" s="11" t="s">
        <v>1805</v>
      </c>
      <c r="E40" s="11">
        <v>0.23412499999999822</v>
      </c>
    </row>
    <row r="41" spans="1:5" ht="24.75">
      <c r="A41" s="11" t="s">
        <v>363</v>
      </c>
      <c r="B41" s="11" t="s">
        <v>233</v>
      </c>
      <c r="C41" s="11" t="s">
        <v>295</v>
      </c>
      <c r="D41" s="11" t="s">
        <v>1806</v>
      </c>
      <c r="E41" s="11">
        <v>0.88206000000000262</v>
      </c>
    </row>
    <row r="42" spans="1:5" ht="24.75">
      <c r="A42" s="11" t="s">
        <v>363</v>
      </c>
      <c r="B42" s="11" t="s">
        <v>233</v>
      </c>
      <c r="C42" s="11" t="s">
        <v>295</v>
      </c>
      <c r="D42" s="11" t="s">
        <v>1807</v>
      </c>
      <c r="E42" s="11">
        <v>0.31499999999999984</v>
      </c>
    </row>
    <row r="43" spans="1:5" ht="24.75">
      <c r="A43" s="11" t="s">
        <v>363</v>
      </c>
      <c r="B43" s="11" t="s">
        <v>233</v>
      </c>
      <c r="C43" s="11" t="s">
        <v>295</v>
      </c>
      <c r="D43" s="11" t="s">
        <v>1808</v>
      </c>
      <c r="E43" s="11">
        <v>7.4665733947854959E-2</v>
      </c>
    </row>
    <row r="44" spans="1:5" ht="24.75">
      <c r="A44" s="11" t="s">
        <v>363</v>
      </c>
      <c r="B44" s="11" t="s">
        <v>233</v>
      </c>
      <c r="C44" s="11" t="s">
        <v>295</v>
      </c>
      <c r="D44" s="11" t="s">
        <v>1809</v>
      </c>
      <c r="E44" s="11">
        <v>8.6504470019317298E-2</v>
      </c>
    </row>
    <row r="45" spans="1:5" ht="24.75">
      <c r="A45" s="11" t="s">
        <v>363</v>
      </c>
      <c r="B45" s="11" t="s">
        <v>233</v>
      </c>
      <c r="C45" s="11" t="s">
        <v>295</v>
      </c>
      <c r="D45" s="11" t="s">
        <v>1810</v>
      </c>
      <c r="E45" s="11">
        <v>0.1855060695467452</v>
      </c>
    </row>
    <row r="46" spans="1:5" ht="24.75">
      <c r="A46" s="11" t="s">
        <v>363</v>
      </c>
      <c r="B46" s="11" t="s">
        <v>233</v>
      </c>
      <c r="C46" s="11" t="s">
        <v>295</v>
      </c>
      <c r="D46" s="11" t="s">
        <v>1811</v>
      </c>
      <c r="E46" s="11">
        <v>0.18375942530769793</v>
      </c>
    </row>
    <row r="47" spans="1:5" ht="24.75">
      <c r="A47" s="11" t="s">
        <v>363</v>
      </c>
      <c r="B47" s="11" t="s">
        <v>233</v>
      </c>
      <c r="C47" s="11" t="s">
        <v>295</v>
      </c>
      <c r="D47" s="11" t="s">
        <v>1812</v>
      </c>
      <c r="E47" s="11">
        <v>0.44018506160002518</v>
      </c>
    </row>
    <row r="48" spans="1:5" ht="24.75">
      <c r="A48" s="11" t="s">
        <v>363</v>
      </c>
      <c r="B48" s="11" t="s">
        <v>233</v>
      </c>
      <c r="C48" s="11" t="s">
        <v>295</v>
      </c>
      <c r="D48" s="11" t="s">
        <v>1813</v>
      </c>
      <c r="E48" s="11">
        <v>0.88206000000000262</v>
      </c>
    </row>
    <row r="49" spans="1:5" ht="24.75">
      <c r="A49" s="11" t="s">
        <v>363</v>
      </c>
      <c r="B49" s="11" t="s">
        <v>233</v>
      </c>
      <c r="C49" s="11" t="s">
        <v>295</v>
      </c>
      <c r="D49" s="11" t="s">
        <v>1814</v>
      </c>
      <c r="E49" s="11">
        <v>0.14210463493009726</v>
      </c>
    </row>
    <row r="50" spans="1:5" ht="24.75">
      <c r="A50" s="11" t="s">
        <v>363</v>
      </c>
      <c r="B50" s="11" t="s">
        <v>233</v>
      </c>
      <c r="C50" s="11" t="s">
        <v>295</v>
      </c>
      <c r="D50" s="11" t="s">
        <v>1815</v>
      </c>
      <c r="E50" s="11">
        <v>0.18000000000000024</v>
      </c>
    </row>
    <row r="51" spans="1:5" ht="24.75">
      <c r="A51" s="11" t="s">
        <v>363</v>
      </c>
      <c r="B51" s="11" t="s">
        <v>233</v>
      </c>
      <c r="C51" s="11" t="s">
        <v>295</v>
      </c>
      <c r="D51" s="11" t="s">
        <v>1816</v>
      </c>
      <c r="E51" s="11">
        <v>1.1204419880799525</v>
      </c>
    </row>
    <row r="52" spans="1:5" ht="24.75">
      <c r="A52" s="11" t="s">
        <v>363</v>
      </c>
      <c r="B52" s="11" t="s">
        <v>233</v>
      </c>
      <c r="C52" s="11" t="s">
        <v>295</v>
      </c>
      <c r="D52" s="11" t="s">
        <v>1817</v>
      </c>
      <c r="E52" s="11">
        <v>8.4800000000000209E-2</v>
      </c>
    </row>
    <row r="53" spans="1:5" ht="24.75">
      <c r="A53" s="11" t="s">
        <v>363</v>
      </c>
      <c r="B53" s="11" t="s">
        <v>233</v>
      </c>
      <c r="C53" s="11" t="s">
        <v>295</v>
      </c>
      <c r="D53" s="11" t="s">
        <v>1818</v>
      </c>
      <c r="E53" s="11">
        <v>8.4799999999994546E-2</v>
      </c>
    </row>
    <row r="54" spans="1:5" ht="24.75">
      <c r="A54" s="11" t="s">
        <v>363</v>
      </c>
      <c r="B54" s="11" t="s">
        <v>233</v>
      </c>
      <c r="C54" s="11" t="s">
        <v>295</v>
      </c>
      <c r="D54" s="11" t="s">
        <v>1819</v>
      </c>
      <c r="E54" s="11">
        <v>0.48776377981772895</v>
      </c>
    </row>
    <row r="55" spans="1:5" ht="24.75">
      <c r="A55" s="11" t="s">
        <v>363</v>
      </c>
      <c r="B55" s="11" t="s">
        <v>233</v>
      </c>
      <c r="C55" s="11" t="s">
        <v>295</v>
      </c>
      <c r="D55" s="11" t="s">
        <v>1820</v>
      </c>
      <c r="E55" s="11">
        <v>1.0509001521517616</v>
      </c>
    </row>
    <row r="56" spans="1:5" ht="24.75">
      <c r="A56" s="11" t="s">
        <v>363</v>
      </c>
      <c r="B56" s="11" t="s">
        <v>233</v>
      </c>
      <c r="C56" s="11" t="s">
        <v>295</v>
      </c>
      <c r="D56" s="11" t="s">
        <v>1821</v>
      </c>
      <c r="E56" s="11">
        <v>0.1252550200917707</v>
      </c>
    </row>
    <row r="57" spans="1:5" ht="24.75">
      <c r="A57" s="11" t="s">
        <v>363</v>
      </c>
      <c r="B57" s="11" t="s">
        <v>233</v>
      </c>
      <c r="C57" s="11" t="s">
        <v>295</v>
      </c>
      <c r="D57" s="11" t="s">
        <v>1822</v>
      </c>
      <c r="E57" s="11">
        <v>0.88206000000000251</v>
      </c>
    </row>
    <row r="58" spans="1:5" ht="24.75">
      <c r="A58" s="11" t="s">
        <v>363</v>
      </c>
      <c r="B58" s="11" t="s">
        <v>233</v>
      </c>
      <c r="C58" s="11" t="s">
        <v>295</v>
      </c>
      <c r="D58" s="11" t="s">
        <v>1823</v>
      </c>
      <c r="E58" s="11">
        <v>0.23268177608115617</v>
      </c>
    </row>
    <row r="59" spans="1:5" ht="24.75">
      <c r="A59" s="11" t="s">
        <v>363</v>
      </c>
      <c r="B59" s="11" t="s">
        <v>233</v>
      </c>
      <c r="C59" s="11" t="s">
        <v>295</v>
      </c>
      <c r="D59" s="11" t="s">
        <v>1824</v>
      </c>
      <c r="E59" s="11">
        <v>1.5251589566695321</v>
      </c>
    </row>
    <row r="60" spans="1:5" ht="24.75">
      <c r="A60" s="11" t="s">
        <v>363</v>
      </c>
      <c r="B60" s="11" t="s">
        <v>233</v>
      </c>
      <c r="C60" s="11" t="s">
        <v>295</v>
      </c>
      <c r="D60" s="11" t="s">
        <v>1825</v>
      </c>
      <c r="E60" s="11">
        <v>7.0672456126413555E-2</v>
      </c>
    </row>
    <row r="61" spans="1:5" ht="24.75">
      <c r="A61" s="11" t="s">
        <v>363</v>
      </c>
      <c r="B61" s="11" t="s">
        <v>233</v>
      </c>
      <c r="C61" s="11" t="s">
        <v>295</v>
      </c>
      <c r="D61" s="11" t="s">
        <v>1826</v>
      </c>
      <c r="E61" s="11">
        <v>0.37524506074222708</v>
      </c>
    </row>
    <row r="62" spans="1:5" ht="24.75">
      <c r="A62" s="11" t="s">
        <v>363</v>
      </c>
      <c r="B62" s="11" t="s">
        <v>233</v>
      </c>
      <c r="C62" s="11" t="s">
        <v>295</v>
      </c>
      <c r="D62" s="11" t="s">
        <v>1827</v>
      </c>
      <c r="E62" s="11">
        <v>0.37524506074222447</v>
      </c>
    </row>
    <row r="63" spans="1:5" ht="24.75">
      <c r="A63" s="11" t="s">
        <v>363</v>
      </c>
      <c r="B63" s="11" t="s">
        <v>233</v>
      </c>
      <c r="C63" s="11" t="s">
        <v>295</v>
      </c>
      <c r="D63" s="11" t="s">
        <v>1828</v>
      </c>
      <c r="E63" s="11">
        <v>0.17126896409792722</v>
      </c>
    </row>
    <row r="64" spans="1:5" ht="24.75">
      <c r="A64" s="11" t="s">
        <v>363</v>
      </c>
      <c r="B64" s="11" t="s">
        <v>233</v>
      </c>
      <c r="C64" s="11" t="s">
        <v>295</v>
      </c>
      <c r="D64" s="11" t="s">
        <v>1829</v>
      </c>
      <c r="E64" s="11">
        <v>7.0960000000016885E-2</v>
      </c>
    </row>
    <row r="65" spans="1:5" ht="24.75">
      <c r="A65" s="11" t="s">
        <v>363</v>
      </c>
      <c r="B65" s="11" t="s">
        <v>233</v>
      </c>
      <c r="C65" s="11" t="s">
        <v>295</v>
      </c>
      <c r="D65" s="11" t="s">
        <v>1830</v>
      </c>
      <c r="E65" s="11">
        <v>7.0709604787634661E-2</v>
      </c>
    </row>
    <row r="66" spans="1:5" ht="24.75">
      <c r="A66" s="11" t="s">
        <v>363</v>
      </c>
      <c r="B66" s="11" t="s">
        <v>233</v>
      </c>
      <c r="C66" s="11" t="s">
        <v>295</v>
      </c>
      <c r="D66" s="11" t="s">
        <v>1831</v>
      </c>
      <c r="E66" s="11">
        <v>0.1064994062255199</v>
      </c>
    </row>
    <row r="67" spans="1:5" ht="24.75">
      <c r="A67" s="11" t="s">
        <v>363</v>
      </c>
      <c r="B67" s="11" t="s">
        <v>233</v>
      </c>
      <c r="C67" s="11" t="s">
        <v>295</v>
      </c>
      <c r="D67" s="11" t="s">
        <v>1832</v>
      </c>
      <c r="E67" s="11">
        <v>7.7478532860474861E-2</v>
      </c>
    </row>
    <row r="68" spans="1:5" ht="24.75">
      <c r="A68" s="11" t="s">
        <v>363</v>
      </c>
      <c r="B68" s="11" t="s">
        <v>233</v>
      </c>
      <c r="C68" s="11" t="s">
        <v>295</v>
      </c>
      <c r="D68" s="11" t="s">
        <v>1833</v>
      </c>
      <c r="E68" s="11">
        <v>8.4800000000007147E-2</v>
      </c>
    </row>
    <row r="69" spans="1:5" ht="24.75">
      <c r="A69" s="11" t="s">
        <v>363</v>
      </c>
      <c r="B69" s="11" t="s">
        <v>233</v>
      </c>
      <c r="C69" s="11" t="s">
        <v>295</v>
      </c>
      <c r="D69" s="11" t="s">
        <v>1834</v>
      </c>
      <c r="E69" s="11">
        <v>0.16826899193983003</v>
      </c>
    </row>
    <row r="70" spans="1:5" ht="24.75">
      <c r="A70" s="11" t="s">
        <v>363</v>
      </c>
      <c r="B70" s="11" t="s">
        <v>233</v>
      </c>
      <c r="C70" s="11" t="s">
        <v>295</v>
      </c>
      <c r="D70" s="11" t="s">
        <v>1835</v>
      </c>
      <c r="E70" s="11">
        <v>0.94000000000008843</v>
      </c>
    </row>
    <row r="71" spans="1:5" ht="24.75">
      <c r="A71" s="11" t="s">
        <v>363</v>
      </c>
      <c r="B71" s="11" t="s">
        <v>233</v>
      </c>
      <c r="C71" s="11" t="s">
        <v>295</v>
      </c>
      <c r="D71" s="11" t="s">
        <v>1836</v>
      </c>
      <c r="E71" s="11">
        <v>0.10567899531642171</v>
      </c>
    </row>
    <row r="72" spans="1:5" ht="24.75">
      <c r="A72" s="11" t="s">
        <v>363</v>
      </c>
      <c r="B72" s="11" t="s">
        <v>233</v>
      </c>
      <c r="C72" s="11" t="s">
        <v>295</v>
      </c>
      <c r="D72" s="11" t="s">
        <v>1837</v>
      </c>
      <c r="E72" s="11">
        <v>0.88735938669485293</v>
      </c>
    </row>
    <row r="73" spans="1:5" ht="24.75">
      <c r="A73" s="11" t="s">
        <v>363</v>
      </c>
      <c r="B73" s="11" t="s">
        <v>233</v>
      </c>
      <c r="C73" s="11" t="s">
        <v>295</v>
      </c>
      <c r="D73" s="11" t="s">
        <v>1838</v>
      </c>
      <c r="E73" s="11">
        <v>0.38526377981772297</v>
      </c>
    </row>
    <row r="74" spans="1:5" ht="24.75">
      <c r="A74" s="11" t="s">
        <v>363</v>
      </c>
      <c r="B74" s="11" t="s">
        <v>233</v>
      </c>
      <c r="C74" s="11" t="s">
        <v>295</v>
      </c>
      <c r="D74" s="11" t="s">
        <v>1839</v>
      </c>
      <c r="E74" s="11">
        <v>1.3291498861640112</v>
      </c>
    </row>
    <row r="75" spans="1:5" ht="24.75">
      <c r="A75" s="11" t="s">
        <v>363</v>
      </c>
      <c r="B75" s="11" t="s">
        <v>233</v>
      </c>
      <c r="C75" s="11" t="s">
        <v>295</v>
      </c>
      <c r="D75" s="11" t="s">
        <v>1840</v>
      </c>
      <c r="E75" s="11">
        <v>0.14961809720553776</v>
      </c>
    </row>
    <row r="76" spans="1:5" ht="24.75">
      <c r="A76" s="11" t="s">
        <v>363</v>
      </c>
      <c r="B76" s="11" t="s">
        <v>233</v>
      </c>
      <c r="C76" s="11" t="s">
        <v>295</v>
      </c>
      <c r="D76" s="11" t="s">
        <v>1841</v>
      </c>
      <c r="E76" s="11">
        <v>0.21999999999999692</v>
      </c>
    </row>
    <row r="77" spans="1:5" ht="24.75">
      <c r="A77" s="11" t="s">
        <v>363</v>
      </c>
      <c r="B77" s="11" t="s">
        <v>233</v>
      </c>
      <c r="C77" s="11" t="s">
        <v>295</v>
      </c>
      <c r="D77" s="11" t="s">
        <v>1842</v>
      </c>
      <c r="E77" s="11">
        <v>0.19590263241139144</v>
      </c>
    </row>
    <row r="78" spans="1:5" ht="24.75">
      <c r="A78" s="11" t="s">
        <v>363</v>
      </c>
      <c r="B78" s="11" t="s">
        <v>233</v>
      </c>
      <c r="C78" s="11" t="s">
        <v>295</v>
      </c>
      <c r="D78" s="11" t="s">
        <v>1843</v>
      </c>
      <c r="E78" s="11">
        <v>0.94940000000000102</v>
      </c>
    </row>
    <row r="79" spans="1:5" ht="24.75">
      <c r="A79" s="11" t="s">
        <v>363</v>
      </c>
      <c r="B79" s="11" t="s">
        <v>233</v>
      </c>
      <c r="C79" s="11" t="s">
        <v>295</v>
      </c>
      <c r="D79" s="11" t="s">
        <v>1844</v>
      </c>
      <c r="E79" s="11">
        <v>5.6319254684226578</v>
      </c>
    </row>
    <row r="80" spans="1:5" ht="24.75">
      <c r="A80" s="11" t="s">
        <v>363</v>
      </c>
      <c r="B80" s="11" t="s">
        <v>233</v>
      </c>
      <c r="C80" s="11" t="s">
        <v>295</v>
      </c>
      <c r="D80" s="11" t="s">
        <v>1845</v>
      </c>
      <c r="E80" s="11">
        <v>1.1611994871355291</v>
      </c>
    </row>
    <row r="81" spans="1:5" ht="24.75">
      <c r="A81" s="11" t="s">
        <v>363</v>
      </c>
      <c r="B81" s="11" t="s">
        <v>233</v>
      </c>
      <c r="C81" s="11" t="s">
        <v>295</v>
      </c>
      <c r="D81" s="11" t="s">
        <v>1846</v>
      </c>
      <c r="E81" s="11">
        <v>2.8621519029246518</v>
      </c>
    </row>
    <row r="82" spans="1:5" ht="24.75">
      <c r="A82" s="11" t="s">
        <v>363</v>
      </c>
      <c r="B82" s="11" t="s">
        <v>233</v>
      </c>
      <c r="C82" s="11" t="s">
        <v>295</v>
      </c>
      <c r="D82" s="11" t="s">
        <v>1847</v>
      </c>
      <c r="E82" s="11">
        <v>6.4300000000005963E-2</v>
      </c>
    </row>
    <row r="83" spans="1:5" ht="24.75">
      <c r="A83" s="11" t="s">
        <v>363</v>
      </c>
      <c r="B83" s="11" t="s">
        <v>233</v>
      </c>
      <c r="C83" s="11" t="s">
        <v>295</v>
      </c>
      <c r="D83" s="11" t="s">
        <v>1848</v>
      </c>
      <c r="E83" s="11">
        <v>2.8686700374677483</v>
      </c>
    </row>
    <row r="84" spans="1:5" ht="24.75">
      <c r="A84" s="11" t="s">
        <v>363</v>
      </c>
      <c r="B84" s="11" t="s">
        <v>233</v>
      </c>
      <c r="C84" s="11" t="s">
        <v>295</v>
      </c>
      <c r="D84" s="11" t="s">
        <v>1849</v>
      </c>
      <c r="E84" s="11">
        <v>9.1799999999999701E-2</v>
      </c>
    </row>
    <row r="85" spans="1:5" ht="24.75">
      <c r="A85" s="11" t="s">
        <v>363</v>
      </c>
      <c r="B85" s="11" t="s">
        <v>233</v>
      </c>
      <c r="C85" s="11" t="s">
        <v>295</v>
      </c>
      <c r="D85" s="11" t="s">
        <v>1850</v>
      </c>
      <c r="E85" s="11">
        <v>0.94940000000000058</v>
      </c>
    </row>
    <row r="86" spans="1:5" ht="24.75">
      <c r="A86" s="11" t="s">
        <v>363</v>
      </c>
      <c r="B86" s="11" t="s">
        <v>233</v>
      </c>
      <c r="C86" s="11" t="s">
        <v>295</v>
      </c>
      <c r="D86" s="11" t="s">
        <v>1851</v>
      </c>
      <c r="E86" s="11">
        <v>0.16540997985979541</v>
      </c>
    </row>
    <row r="87" spans="1:5" ht="24.75">
      <c r="A87" s="11" t="s">
        <v>363</v>
      </c>
      <c r="B87" s="11" t="s">
        <v>233</v>
      </c>
      <c r="C87" s="11" t="s">
        <v>295</v>
      </c>
      <c r="D87" s="11" t="s">
        <v>1852</v>
      </c>
      <c r="E87" s="11">
        <v>0.94940000000000291</v>
      </c>
    </row>
    <row r="88" spans="1:5" ht="24.75">
      <c r="A88" s="11" t="s">
        <v>363</v>
      </c>
      <c r="B88" s="11" t="s">
        <v>233</v>
      </c>
      <c r="C88" s="11" t="s">
        <v>295</v>
      </c>
      <c r="D88" s="11" t="s">
        <v>1853</v>
      </c>
      <c r="E88" s="11">
        <v>0.11400146094988539</v>
      </c>
    </row>
    <row r="89" spans="1:5" ht="24.75">
      <c r="A89" s="11" t="s">
        <v>363</v>
      </c>
      <c r="B89" s="11" t="s">
        <v>233</v>
      </c>
      <c r="C89" s="11" t="s">
        <v>295</v>
      </c>
      <c r="D89" s="11" t="s">
        <v>1854</v>
      </c>
      <c r="E89" s="11">
        <v>0.38243459183824535</v>
      </c>
    </row>
    <row r="90" spans="1:5" ht="24.75">
      <c r="A90" s="11" t="s">
        <v>363</v>
      </c>
      <c r="B90" s="11" t="s">
        <v>233</v>
      </c>
      <c r="C90" s="11" t="s">
        <v>295</v>
      </c>
      <c r="D90" s="11" t="s">
        <v>1855</v>
      </c>
      <c r="E90" s="11">
        <v>7.096000000000266E-2</v>
      </c>
    </row>
    <row r="91" spans="1:5" ht="24.75">
      <c r="A91" s="11" t="s">
        <v>363</v>
      </c>
      <c r="B91" s="11" t="s">
        <v>233</v>
      </c>
      <c r="C91" s="11" t="s">
        <v>295</v>
      </c>
      <c r="D91" s="11" t="s">
        <v>1856</v>
      </c>
      <c r="E91" s="11">
        <v>7.3004351445590629E-2</v>
      </c>
    </row>
    <row r="92" spans="1:5" ht="24.75">
      <c r="A92" s="11" t="s">
        <v>363</v>
      </c>
      <c r="B92" s="11" t="s">
        <v>233</v>
      </c>
      <c r="C92" s="11" t="s">
        <v>295</v>
      </c>
      <c r="D92" s="11" t="s">
        <v>1857</v>
      </c>
      <c r="E92" s="11">
        <v>9.6986993622734455E-2</v>
      </c>
    </row>
    <row r="93" spans="1:5" ht="24.75">
      <c r="A93" s="11" t="s">
        <v>363</v>
      </c>
      <c r="B93" s="11" t="s">
        <v>233</v>
      </c>
      <c r="C93" s="11" t="s">
        <v>295</v>
      </c>
      <c r="D93" s="11" t="s">
        <v>1858</v>
      </c>
      <c r="E93" s="11">
        <v>7.1063856269457534E-2</v>
      </c>
    </row>
    <row r="94" spans="1:5" ht="24.75">
      <c r="A94" s="11" t="s">
        <v>363</v>
      </c>
      <c r="B94" s="11" t="s">
        <v>233</v>
      </c>
      <c r="C94" s="11" t="s">
        <v>295</v>
      </c>
      <c r="D94" s="11" t="s">
        <v>1859</v>
      </c>
      <c r="E94" s="11">
        <v>8.1595176429135316E-2</v>
      </c>
    </row>
    <row r="95" spans="1:5" ht="24.75">
      <c r="A95" s="11" t="s">
        <v>363</v>
      </c>
      <c r="B95" s="11" t="s">
        <v>233</v>
      </c>
      <c r="C95" s="11" t="s">
        <v>295</v>
      </c>
      <c r="D95" s="11" t="s">
        <v>1860</v>
      </c>
      <c r="E95" s="11">
        <v>7.9800000000010016E-2</v>
      </c>
    </row>
    <row r="96" spans="1:5" ht="24.75">
      <c r="A96" s="11" t="s">
        <v>363</v>
      </c>
      <c r="B96" s="11" t="s">
        <v>233</v>
      </c>
      <c r="C96" s="11" t="s">
        <v>295</v>
      </c>
      <c r="D96" s="11" t="s">
        <v>1861</v>
      </c>
      <c r="E96" s="11">
        <v>8.4800000000003373E-2</v>
      </c>
    </row>
    <row r="97" spans="1:5" ht="24.75">
      <c r="A97" s="11" t="s">
        <v>363</v>
      </c>
      <c r="B97" s="11" t="s">
        <v>233</v>
      </c>
      <c r="C97" s="11" t="s">
        <v>295</v>
      </c>
      <c r="D97" s="11" t="s">
        <v>1862</v>
      </c>
      <c r="E97" s="11">
        <v>0.19856895201159364</v>
      </c>
    </row>
    <row r="98" spans="1:5" ht="24.75">
      <c r="A98" s="11" t="s">
        <v>363</v>
      </c>
      <c r="B98" s="11" t="s">
        <v>233</v>
      </c>
      <c r="C98" s="11" t="s">
        <v>295</v>
      </c>
      <c r="D98" s="11" t="s">
        <v>1863</v>
      </c>
      <c r="E98" s="11">
        <v>1.5235600222329031</v>
      </c>
    </row>
    <row r="99" spans="1:5" ht="24.75">
      <c r="A99" s="11" t="s">
        <v>363</v>
      </c>
      <c r="B99" s="11" t="s">
        <v>233</v>
      </c>
      <c r="C99" s="11" t="s">
        <v>295</v>
      </c>
      <c r="D99" s="11" t="s">
        <v>1864</v>
      </c>
      <c r="E99" s="11">
        <v>0.44018506160002413</v>
      </c>
    </row>
    <row r="100" spans="1:5" ht="24.75">
      <c r="A100" s="11" t="s">
        <v>363</v>
      </c>
      <c r="B100" s="11" t="s">
        <v>233</v>
      </c>
      <c r="C100" s="11" t="s">
        <v>295</v>
      </c>
      <c r="D100" s="11" t="s">
        <v>1865</v>
      </c>
      <c r="E100" s="11">
        <v>9.1616914770979108E-2</v>
      </c>
    </row>
    <row r="101" spans="1:5" ht="24.75">
      <c r="A101" s="11" t="s">
        <v>363</v>
      </c>
      <c r="B101" s="11" t="s">
        <v>233</v>
      </c>
      <c r="C101" s="11" t="s">
        <v>295</v>
      </c>
      <c r="D101" s="11" t="s">
        <v>1866</v>
      </c>
      <c r="E101" s="11">
        <v>0.37523040774935629</v>
      </c>
    </row>
    <row r="102" spans="1:5" ht="24.75">
      <c r="A102" s="11" t="s">
        <v>363</v>
      </c>
      <c r="B102" s="11" t="s">
        <v>233</v>
      </c>
      <c r="C102" s="11" t="s">
        <v>295</v>
      </c>
      <c r="D102" s="11" t="s">
        <v>1867</v>
      </c>
      <c r="E102" s="11">
        <v>0.37523040773840743</v>
      </c>
    </row>
    <row r="103" spans="1:5" ht="24.75">
      <c r="A103" s="11" t="s">
        <v>363</v>
      </c>
      <c r="B103" s="11" t="s">
        <v>233</v>
      </c>
      <c r="C103" s="11" t="s">
        <v>295</v>
      </c>
      <c r="D103" s="11" t="s">
        <v>1868</v>
      </c>
      <c r="E103" s="11">
        <v>0.68421389057415993</v>
      </c>
    </row>
    <row r="104" spans="1:5" ht="24.75">
      <c r="A104" s="11" t="s">
        <v>363</v>
      </c>
      <c r="B104" s="11" t="s">
        <v>233</v>
      </c>
      <c r="C104" s="11" t="s">
        <v>295</v>
      </c>
      <c r="D104" s="11" t="s">
        <v>1869</v>
      </c>
      <c r="E104" s="11">
        <v>7.0960000025258027E-2</v>
      </c>
    </row>
    <row r="105" spans="1:5" ht="24.75">
      <c r="A105" s="11" t="s">
        <v>363</v>
      </c>
      <c r="B105" s="11" t="s">
        <v>233</v>
      </c>
      <c r="C105" s="11" t="s">
        <v>295</v>
      </c>
      <c r="D105" s="11" t="s">
        <v>1870</v>
      </c>
      <c r="E105" s="11">
        <v>8.4800920623531145E-2</v>
      </c>
    </row>
    <row r="106" spans="1:5" ht="24.75">
      <c r="A106" s="11" t="s">
        <v>363</v>
      </c>
      <c r="B106" s="11" t="s">
        <v>233</v>
      </c>
      <c r="C106" s="11" t="s">
        <v>295</v>
      </c>
      <c r="D106" s="11" t="s">
        <v>1871</v>
      </c>
      <c r="E106" s="11">
        <v>1.0884521754812144</v>
      </c>
    </row>
    <row r="107" spans="1:5" ht="24.75">
      <c r="A107" s="11" t="s">
        <v>363</v>
      </c>
      <c r="B107" s="11" t="s">
        <v>233</v>
      </c>
      <c r="C107" s="11" t="s">
        <v>295</v>
      </c>
      <c r="D107" s="11" t="s">
        <v>1872</v>
      </c>
      <c r="E107" s="11">
        <v>0.68765623793050223</v>
      </c>
    </row>
    <row r="108" spans="1:5" ht="24.75">
      <c r="A108" s="11" t="s">
        <v>363</v>
      </c>
      <c r="B108" s="11" t="s">
        <v>233</v>
      </c>
      <c r="C108" s="11" t="s">
        <v>295</v>
      </c>
      <c r="D108" s="11" t="s">
        <v>1873</v>
      </c>
      <c r="E108" s="11">
        <v>3.4035599998973556</v>
      </c>
    </row>
    <row r="109" spans="1:5" ht="24.75">
      <c r="A109" s="11" t="s">
        <v>363</v>
      </c>
      <c r="B109" s="11" t="s">
        <v>233</v>
      </c>
      <c r="C109" s="11" t="s">
        <v>295</v>
      </c>
      <c r="D109" s="11" t="s">
        <v>1874</v>
      </c>
      <c r="E109" s="11">
        <v>1.6744432538630381</v>
      </c>
    </row>
    <row r="110" spans="1:5" ht="24.75">
      <c r="A110" s="11" t="s">
        <v>363</v>
      </c>
      <c r="B110" s="11" t="s">
        <v>233</v>
      </c>
      <c r="C110" s="11" t="s">
        <v>295</v>
      </c>
      <c r="D110" s="11" t="s">
        <v>1875</v>
      </c>
      <c r="E110" s="11">
        <v>9.05104439782419E-2</v>
      </c>
    </row>
    <row r="111" spans="1:5" ht="24.75">
      <c r="A111" s="11" t="s">
        <v>363</v>
      </c>
      <c r="B111" s="11" t="s">
        <v>233</v>
      </c>
      <c r="C111" s="11" t="s">
        <v>295</v>
      </c>
      <c r="D111" s="11" t="s">
        <v>1876</v>
      </c>
      <c r="E111" s="11">
        <v>5.865286685748635</v>
      </c>
    </row>
    <row r="112" spans="1:5" ht="24.75">
      <c r="A112" s="11" t="s">
        <v>363</v>
      </c>
      <c r="B112" s="11" t="s">
        <v>233</v>
      </c>
      <c r="C112" s="11" t="s">
        <v>295</v>
      </c>
      <c r="D112" s="11" t="s">
        <v>1877</v>
      </c>
      <c r="E112" s="11">
        <v>5.9900999999999938</v>
      </c>
    </row>
    <row r="113" spans="1:5" ht="24.75">
      <c r="A113" s="11" t="s">
        <v>363</v>
      </c>
      <c r="B113" s="11" t="s">
        <v>233</v>
      </c>
      <c r="C113" s="11" t="s">
        <v>295</v>
      </c>
      <c r="D113" s="11" t="s">
        <v>1878</v>
      </c>
      <c r="E113" s="11">
        <v>5.9900999999999929</v>
      </c>
    </row>
    <row r="114" spans="1:5" ht="24.75">
      <c r="A114" s="11" t="s">
        <v>363</v>
      </c>
      <c r="B114" s="11" t="s">
        <v>233</v>
      </c>
      <c r="C114" s="11" t="s">
        <v>295</v>
      </c>
      <c r="D114" s="11" t="s">
        <v>1879</v>
      </c>
      <c r="E114" s="11">
        <v>0.12261777857509551</v>
      </c>
    </row>
    <row r="115" spans="1:5" ht="24.75">
      <c r="A115" s="11" t="s">
        <v>363</v>
      </c>
      <c r="B115" s="11" t="s">
        <v>233</v>
      </c>
      <c r="C115" s="11" t="s">
        <v>295</v>
      </c>
      <c r="D115" s="11" t="s">
        <v>1880</v>
      </c>
      <c r="E115" s="11">
        <v>0.10035550869876139</v>
      </c>
    </row>
    <row r="116" spans="1:5" ht="24.75">
      <c r="A116" s="11" t="s">
        <v>363</v>
      </c>
      <c r="B116" s="11" t="s">
        <v>233</v>
      </c>
      <c r="C116" s="11" t="s">
        <v>295</v>
      </c>
      <c r="D116" s="11" t="s">
        <v>1881</v>
      </c>
      <c r="E116" s="11">
        <v>7.0363476576468409E-2</v>
      </c>
    </row>
    <row r="117" spans="1:5" ht="24.75">
      <c r="A117" s="11" t="s">
        <v>363</v>
      </c>
      <c r="B117" s="11" t="s">
        <v>233</v>
      </c>
      <c r="C117" s="11" t="s">
        <v>295</v>
      </c>
      <c r="D117" s="11" t="s">
        <v>1882</v>
      </c>
      <c r="E117" s="11">
        <v>7.180833925486238E-2</v>
      </c>
    </row>
    <row r="118" spans="1:5" ht="24.75">
      <c r="A118" s="11" t="s">
        <v>363</v>
      </c>
      <c r="B118" s="11" t="s">
        <v>233</v>
      </c>
      <c r="C118" s="11" t="s">
        <v>295</v>
      </c>
      <c r="D118" s="11" t="s">
        <v>1883</v>
      </c>
      <c r="E118" s="11">
        <v>7.7482174430060946E-2</v>
      </c>
    </row>
    <row r="119" spans="1:5" ht="24.75">
      <c r="A119" s="11" t="s">
        <v>363</v>
      </c>
      <c r="B119" s="11" t="s">
        <v>233</v>
      </c>
      <c r="C119" s="11" t="s">
        <v>295</v>
      </c>
      <c r="D119" s="11" t="s">
        <v>1884</v>
      </c>
      <c r="E119" s="11">
        <v>7.8927037129941119E-2</v>
      </c>
    </row>
    <row r="120" spans="1:5" ht="24.75">
      <c r="A120" s="11" t="s">
        <v>363</v>
      </c>
      <c r="B120" s="11" t="s">
        <v>233</v>
      </c>
      <c r="C120" s="11" t="s">
        <v>295</v>
      </c>
      <c r="D120" s="11" t="s">
        <v>1885</v>
      </c>
      <c r="E120" s="11">
        <v>6.8891561119367867E-2</v>
      </c>
    </row>
    <row r="121" spans="1:5" ht="24.75">
      <c r="A121" s="11" t="s">
        <v>363</v>
      </c>
      <c r="B121" s="11" t="s">
        <v>233</v>
      </c>
      <c r="C121" s="11" t="s">
        <v>295</v>
      </c>
      <c r="D121" s="11" t="s">
        <v>1886</v>
      </c>
      <c r="E121" s="11">
        <v>0.14089370512519783</v>
      </c>
    </row>
    <row r="122" spans="1:5" ht="24.75">
      <c r="A122" s="11" t="s">
        <v>363</v>
      </c>
      <c r="B122" s="11" t="s">
        <v>233</v>
      </c>
      <c r="C122" s="11" t="s">
        <v>295</v>
      </c>
      <c r="D122" s="11" t="s">
        <v>1887</v>
      </c>
      <c r="E122" s="11">
        <v>0.14329444202161506</v>
      </c>
    </row>
    <row r="123" spans="1:5" ht="24.75">
      <c r="A123" s="11" t="s">
        <v>363</v>
      </c>
      <c r="B123" s="11" t="s">
        <v>233</v>
      </c>
      <c r="C123" s="11" t="s">
        <v>295</v>
      </c>
      <c r="D123" s="11" t="s">
        <v>1888</v>
      </c>
      <c r="E123" s="11">
        <v>9.9249456278137638E-2</v>
      </c>
    </row>
    <row r="124" spans="1:5" ht="24.75">
      <c r="A124" s="11" t="s">
        <v>363</v>
      </c>
      <c r="B124" s="11" t="s">
        <v>233</v>
      </c>
      <c r="C124" s="11" t="s">
        <v>295</v>
      </c>
      <c r="D124" s="11" t="s">
        <v>1889</v>
      </c>
      <c r="E124" s="11">
        <v>0.23882095126961472</v>
      </c>
    </row>
    <row r="125" spans="1:5" ht="24.75">
      <c r="A125" s="11" t="s">
        <v>363</v>
      </c>
      <c r="B125" s="11" t="s">
        <v>233</v>
      </c>
      <c r="C125" s="11" t="s">
        <v>295</v>
      </c>
      <c r="D125" s="11" t="s">
        <v>1890</v>
      </c>
      <c r="E125" s="11">
        <v>2.258995351735237</v>
      </c>
    </row>
    <row r="126" spans="1:5" ht="24.75">
      <c r="A126" s="11" t="s">
        <v>363</v>
      </c>
      <c r="B126" s="11" t="s">
        <v>233</v>
      </c>
      <c r="C126" s="11" t="s">
        <v>295</v>
      </c>
      <c r="D126" s="11" t="s">
        <v>1891</v>
      </c>
      <c r="E126" s="11">
        <v>0.14507133891366761</v>
      </c>
    </row>
    <row r="127" spans="1:5" ht="24.75">
      <c r="A127" s="11" t="s">
        <v>363</v>
      </c>
      <c r="B127" s="11" t="s">
        <v>233</v>
      </c>
      <c r="C127" s="11" t="s">
        <v>295</v>
      </c>
      <c r="D127" s="11" t="s">
        <v>1892</v>
      </c>
      <c r="E127" s="11">
        <v>0.10035550869876139</v>
      </c>
    </row>
    <row r="128" spans="1:5" ht="24.75">
      <c r="A128" s="11" t="s">
        <v>363</v>
      </c>
      <c r="B128" s="11" t="s">
        <v>233</v>
      </c>
      <c r="C128" s="11" t="s">
        <v>295</v>
      </c>
      <c r="D128" s="11" t="s">
        <v>1893</v>
      </c>
      <c r="E128" s="11">
        <v>7.0363476576468409E-2</v>
      </c>
    </row>
    <row r="129" spans="1:5" ht="24.75">
      <c r="A129" s="11" t="s">
        <v>363</v>
      </c>
      <c r="B129" s="11" t="s">
        <v>233</v>
      </c>
      <c r="C129" s="11" t="s">
        <v>295</v>
      </c>
      <c r="D129" s="11" t="s">
        <v>1894</v>
      </c>
      <c r="E129" s="11">
        <v>7.0363476576554423E-2</v>
      </c>
    </row>
    <row r="130" spans="1:5" ht="24.75">
      <c r="A130" s="11" t="s">
        <v>363</v>
      </c>
      <c r="B130" s="11" t="s">
        <v>233</v>
      </c>
      <c r="C130" s="11" t="s">
        <v>295</v>
      </c>
      <c r="D130" s="11" t="s">
        <v>1895</v>
      </c>
      <c r="E130" s="11">
        <v>7.8927037108361964E-2</v>
      </c>
    </row>
    <row r="131" spans="1:5" ht="24.75">
      <c r="A131" s="11" t="s">
        <v>363</v>
      </c>
      <c r="B131" s="11" t="s">
        <v>233</v>
      </c>
      <c r="C131" s="11" t="s">
        <v>295</v>
      </c>
      <c r="D131" s="11" t="s">
        <v>1896</v>
      </c>
      <c r="E131" s="11">
        <v>7.8927037129941119E-2</v>
      </c>
    </row>
    <row r="132" spans="1:5" ht="24.75">
      <c r="A132" s="11" t="s">
        <v>363</v>
      </c>
      <c r="B132" s="11" t="s">
        <v>233</v>
      </c>
      <c r="C132" s="11" t="s">
        <v>295</v>
      </c>
      <c r="D132" s="11" t="s">
        <v>1897</v>
      </c>
      <c r="E132" s="11">
        <v>8.9935508817631474E-2</v>
      </c>
    </row>
    <row r="133" spans="1:5" ht="24.75">
      <c r="A133" s="11" t="s">
        <v>363</v>
      </c>
      <c r="B133" s="11" t="s">
        <v>233</v>
      </c>
      <c r="C133" s="11" t="s">
        <v>295</v>
      </c>
      <c r="D133" s="11" t="s">
        <v>1898</v>
      </c>
      <c r="E133" s="11">
        <v>0.14233859769604995</v>
      </c>
    </row>
    <row r="134" spans="1:5" ht="24.75">
      <c r="A134" s="11" t="s">
        <v>363</v>
      </c>
      <c r="B134" s="11" t="s">
        <v>233</v>
      </c>
      <c r="C134" s="11" t="s">
        <v>295</v>
      </c>
      <c r="D134" s="11" t="s">
        <v>1899</v>
      </c>
      <c r="E134" s="11">
        <v>0.14329444202161506</v>
      </c>
    </row>
    <row r="135" spans="1:5" ht="24.75">
      <c r="A135" s="11" t="s">
        <v>363</v>
      </c>
      <c r="B135" s="11" t="s">
        <v>233</v>
      </c>
      <c r="C135" s="11" t="s">
        <v>295</v>
      </c>
      <c r="D135" s="11" t="s">
        <v>1900</v>
      </c>
      <c r="E135" s="11">
        <v>7.8205508579852437E-2</v>
      </c>
    </row>
    <row r="136" spans="1:5" ht="24.75">
      <c r="A136" s="11" t="s">
        <v>363</v>
      </c>
      <c r="B136" s="11" t="s">
        <v>233</v>
      </c>
      <c r="C136" s="11" t="s">
        <v>295</v>
      </c>
      <c r="D136" s="11" t="s">
        <v>1901</v>
      </c>
      <c r="E136" s="11">
        <v>0.36319870991110326</v>
      </c>
    </row>
    <row r="137" spans="1:5" ht="24.75">
      <c r="A137" s="11" t="s">
        <v>363</v>
      </c>
      <c r="B137" s="11" t="s">
        <v>233</v>
      </c>
      <c r="C137" s="11" t="s">
        <v>295</v>
      </c>
      <c r="D137" s="11" t="s">
        <v>1902</v>
      </c>
      <c r="E137" s="11">
        <v>0.63057836528862887</v>
      </c>
    </row>
    <row r="138" spans="1:5" ht="24.75">
      <c r="A138" s="11" t="s">
        <v>363</v>
      </c>
      <c r="B138" s="11" t="s">
        <v>233</v>
      </c>
      <c r="C138" s="11" t="s">
        <v>295</v>
      </c>
      <c r="D138" s="11" t="s">
        <v>1903</v>
      </c>
      <c r="E138" s="11">
        <v>0.890022495331106</v>
      </c>
    </row>
    <row r="139" spans="1:5" ht="24.75">
      <c r="A139" s="11" t="s">
        <v>363</v>
      </c>
      <c r="B139" s="11" t="s">
        <v>233</v>
      </c>
      <c r="C139" s="11" t="s">
        <v>295</v>
      </c>
      <c r="D139" s="11" t="s">
        <v>1904</v>
      </c>
      <c r="E139" s="11">
        <v>1.3167170487254396</v>
      </c>
    </row>
    <row r="140" spans="1:5" ht="24.75">
      <c r="A140" s="11" t="s">
        <v>363</v>
      </c>
      <c r="B140" s="11" t="s">
        <v>233</v>
      </c>
      <c r="C140" s="11" t="s">
        <v>295</v>
      </c>
      <c r="D140" s="11" t="s">
        <v>1905</v>
      </c>
      <c r="E140" s="11">
        <v>0.16441124850549532</v>
      </c>
    </row>
    <row r="141" spans="1:5" ht="24.75">
      <c r="A141" s="11" t="s">
        <v>363</v>
      </c>
      <c r="B141" s="11" t="s">
        <v>233</v>
      </c>
      <c r="C141" s="11" t="s">
        <v>295</v>
      </c>
      <c r="D141" s="11" t="s">
        <v>1906</v>
      </c>
      <c r="E141" s="11">
        <v>0.18576898832527317</v>
      </c>
    </row>
    <row r="142" spans="1:5" ht="24.75">
      <c r="A142" s="11" t="s">
        <v>363</v>
      </c>
      <c r="B142" s="11" t="s">
        <v>233</v>
      </c>
      <c r="C142" s="11" t="s">
        <v>295</v>
      </c>
      <c r="D142" s="11" t="s">
        <v>1907</v>
      </c>
      <c r="E142" s="11">
        <v>0.44262648118042919</v>
      </c>
    </row>
    <row r="143" spans="1:5" ht="24.75">
      <c r="A143" s="11" t="s">
        <v>363</v>
      </c>
      <c r="B143" s="11" t="s">
        <v>233</v>
      </c>
      <c r="C143" s="11" t="s">
        <v>295</v>
      </c>
      <c r="D143" s="11" t="s">
        <v>1908</v>
      </c>
      <c r="E143" s="11">
        <v>2.6180796908002377</v>
      </c>
    </row>
    <row r="144" spans="1:5" ht="24.75">
      <c r="A144" s="11" t="s">
        <v>363</v>
      </c>
      <c r="B144" s="11" t="s">
        <v>233</v>
      </c>
      <c r="C144" s="11" t="s">
        <v>295</v>
      </c>
      <c r="D144" s="11" t="s">
        <v>1909</v>
      </c>
      <c r="E144" s="11">
        <v>0.4678776737958209</v>
      </c>
    </row>
    <row r="145" spans="1:5" ht="24.75">
      <c r="A145" s="11" t="s">
        <v>363</v>
      </c>
      <c r="B145" s="11" t="s">
        <v>233</v>
      </c>
      <c r="C145" s="11" t="s">
        <v>295</v>
      </c>
      <c r="D145" s="11" t="s">
        <v>1910</v>
      </c>
      <c r="E145" s="11">
        <v>0.14098799847557503</v>
      </c>
    </row>
    <row r="146" spans="1:5" ht="24.75">
      <c r="A146" s="11" t="s">
        <v>363</v>
      </c>
      <c r="B146" s="11" t="s">
        <v>233</v>
      </c>
      <c r="C146" s="11" t="s">
        <v>295</v>
      </c>
      <c r="D146" s="11" t="s">
        <v>1911</v>
      </c>
      <c r="E146" s="11">
        <v>0.35715653024007338</v>
      </c>
    </row>
    <row r="147" spans="1:5" ht="24.75">
      <c r="A147" s="11" t="s">
        <v>363</v>
      </c>
      <c r="B147" s="11" t="s">
        <v>233</v>
      </c>
      <c r="C147" s="11" t="s">
        <v>295</v>
      </c>
      <c r="D147" s="11" t="s">
        <v>1912</v>
      </c>
      <c r="E147" s="11">
        <v>0.11351976119526937</v>
      </c>
    </row>
    <row r="148" spans="1:5" ht="24.75">
      <c r="A148" s="11" t="s">
        <v>363</v>
      </c>
      <c r="B148" s="11" t="s">
        <v>233</v>
      </c>
      <c r="C148" s="11" t="s">
        <v>295</v>
      </c>
      <c r="D148" s="11" t="s">
        <v>1913</v>
      </c>
      <c r="E148" s="11">
        <v>0.22000000000000261</v>
      </c>
    </row>
    <row r="149" spans="1:5" ht="24.75">
      <c r="A149" s="11" t="s">
        <v>363</v>
      </c>
      <c r="B149" s="11" t="s">
        <v>233</v>
      </c>
      <c r="C149" s="11" t="s">
        <v>295</v>
      </c>
      <c r="D149" s="11" t="s">
        <v>1914</v>
      </c>
      <c r="E149" s="11">
        <v>0.9494077317791012</v>
      </c>
    </row>
    <row r="150" spans="1:5" ht="24.75">
      <c r="A150" s="11" t="s">
        <v>363</v>
      </c>
      <c r="B150" s="11" t="s">
        <v>233</v>
      </c>
      <c r="C150" s="11" t="s">
        <v>295</v>
      </c>
      <c r="D150" s="11" t="s">
        <v>1915</v>
      </c>
      <c r="E150" s="11">
        <v>9.4365844941458554E-2</v>
      </c>
    </row>
    <row r="151" spans="1:5" ht="24.75">
      <c r="A151" s="11" t="s">
        <v>363</v>
      </c>
      <c r="B151" s="11" t="s">
        <v>233</v>
      </c>
      <c r="C151" s="11" t="s">
        <v>295</v>
      </c>
      <c r="D151" s="11" t="s">
        <v>1916</v>
      </c>
      <c r="E151" s="11">
        <v>0.28042306419758867</v>
      </c>
    </row>
    <row r="152" spans="1:5" ht="24.75">
      <c r="A152" s="11" t="s">
        <v>363</v>
      </c>
      <c r="B152" s="11" t="s">
        <v>233</v>
      </c>
      <c r="C152" s="11" t="s">
        <v>295</v>
      </c>
      <c r="D152" s="11" t="s">
        <v>1917</v>
      </c>
      <c r="E152" s="11">
        <v>0.15895650601783545</v>
      </c>
    </row>
    <row r="153" spans="1:5" ht="24.75">
      <c r="A153" s="11" t="s">
        <v>363</v>
      </c>
      <c r="B153" s="11" t="s">
        <v>233</v>
      </c>
      <c r="C153" s="11" t="s">
        <v>295</v>
      </c>
      <c r="D153" s="11" t="s">
        <v>1918</v>
      </c>
      <c r="E153" s="11">
        <v>0.11039938906359141</v>
      </c>
    </row>
    <row r="154" spans="1:5" ht="24.75">
      <c r="A154" s="11" t="s">
        <v>363</v>
      </c>
      <c r="B154" s="11" t="s">
        <v>233</v>
      </c>
      <c r="C154" s="11" t="s">
        <v>295</v>
      </c>
      <c r="D154" s="11" t="s">
        <v>1919</v>
      </c>
      <c r="E154" s="11">
        <v>0.94940071562013917</v>
      </c>
    </row>
    <row r="155" spans="1:5" ht="24.75">
      <c r="A155" s="11" t="s">
        <v>363</v>
      </c>
      <c r="B155" s="11" t="s">
        <v>233</v>
      </c>
      <c r="C155" s="11" t="s">
        <v>295</v>
      </c>
      <c r="D155" s="11" t="s">
        <v>1920</v>
      </c>
      <c r="E155" s="11">
        <v>0.61612837045226476</v>
      </c>
    </row>
    <row r="156" spans="1:5" ht="24.75">
      <c r="A156" s="11" t="s">
        <v>363</v>
      </c>
      <c r="B156" s="11" t="s">
        <v>233</v>
      </c>
      <c r="C156" s="11" t="s">
        <v>295</v>
      </c>
      <c r="D156" s="11" t="s">
        <v>1921</v>
      </c>
      <c r="E156" s="11">
        <v>2.8177691771236963</v>
      </c>
    </row>
    <row r="157" spans="1:5" ht="24.75">
      <c r="A157" s="11" t="s">
        <v>363</v>
      </c>
      <c r="B157" s="11" t="s">
        <v>233</v>
      </c>
      <c r="C157" s="11" t="s">
        <v>295</v>
      </c>
      <c r="D157" s="11" t="s">
        <v>1922</v>
      </c>
      <c r="E157" s="11">
        <v>1.9755230431059121</v>
      </c>
    </row>
    <row r="158" spans="1:5" ht="24.75">
      <c r="A158" s="11" t="s">
        <v>363</v>
      </c>
      <c r="B158" s="11" t="s">
        <v>233</v>
      </c>
      <c r="C158" s="11" t="s">
        <v>295</v>
      </c>
      <c r="D158" s="11" t="s">
        <v>1923</v>
      </c>
      <c r="E158" s="11">
        <v>0.56659981937784865</v>
      </c>
    </row>
    <row r="159" spans="1:5" ht="24.75">
      <c r="A159" s="11" t="s">
        <v>363</v>
      </c>
      <c r="B159" s="11" t="s">
        <v>233</v>
      </c>
      <c r="C159" s="11" t="s">
        <v>295</v>
      </c>
      <c r="D159" s="11" t="s">
        <v>1924</v>
      </c>
      <c r="E159" s="11">
        <v>2.6435495739408124</v>
      </c>
    </row>
    <row r="160" spans="1:5" ht="24.75">
      <c r="A160" s="11" t="s">
        <v>363</v>
      </c>
      <c r="B160" s="11" t="s">
        <v>233</v>
      </c>
      <c r="C160" s="11" t="s">
        <v>295</v>
      </c>
      <c r="D160" s="11" t="s">
        <v>1925</v>
      </c>
      <c r="E160" s="11">
        <v>0.88770501086054054</v>
      </c>
    </row>
    <row r="161" spans="1:5" ht="24.75">
      <c r="A161" s="11" t="s">
        <v>363</v>
      </c>
      <c r="B161" s="11" t="s">
        <v>233</v>
      </c>
      <c r="C161" s="11" t="s">
        <v>295</v>
      </c>
      <c r="D161" s="11" t="s">
        <v>1926</v>
      </c>
      <c r="E161" s="11">
        <v>0.17752018682882212</v>
      </c>
    </row>
    <row r="162" spans="1:5" ht="24.75">
      <c r="A162" s="11" t="s">
        <v>363</v>
      </c>
      <c r="B162" s="11" t="s">
        <v>233</v>
      </c>
      <c r="C162" s="11" t="s">
        <v>295</v>
      </c>
      <c r="D162" s="11" t="s">
        <v>1927</v>
      </c>
      <c r="E162" s="11">
        <v>9.6800000000001343E-2</v>
      </c>
    </row>
    <row r="163" spans="1:5" ht="24.75">
      <c r="A163" s="11" t="s">
        <v>363</v>
      </c>
      <c r="B163" s="11" t="s">
        <v>233</v>
      </c>
      <c r="C163" s="11" t="s">
        <v>295</v>
      </c>
      <c r="D163" s="11" t="s">
        <v>1928</v>
      </c>
      <c r="E163" s="11">
        <v>0.50459264122440961</v>
      </c>
    </row>
    <row r="164" spans="1:5" ht="24.75">
      <c r="A164" s="11" t="s">
        <v>363</v>
      </c>
      <c r="B164" s="11" t="s">
        <v>233</v>
      </c>
      <c r="C164" s="11" t="s">
        <v>295</v>
      </c>
      <c r="D164" s="11" t="s">
        <v>1929</v>
      </c>
      <c r="E164" s="11">
        <v>0.513190450868799</v>
      </c>
    </row>
    <row r="165" spans="1:5" ht="24.75">
      <c r="A165" s="11" t="s">
        <v>363</v>
      </c>
      <c r="B165" s="11" t="s">
        <v>233</v>
      </c>
      <c r="C165" s="11" t="s">
        <v>295</v>
      </c>
      <c r="D165" s="11" t="s">
        <v>1930</v>
      </c>
      <c r="E165" s="11">
        <v>0.31229668029308877</v>
      </c>
    </row>
    <row r="166" spans="1:5" ht="24.75">
      <c r="A166" s="11" t="s">
        <v>363</v>
      </c>
      <c r="B166" s="11" t="s">
        <v>233</v>
      </c>
      <c r="C166" s="11" t="s">
        <v>295</v>
      </c>
      <c r="D166" s="11" t="s">
        <v>1931</v>
      </c>
      <c r="E166" s="11">
        <v>0.48939999999999884</v>
      </c>
    </row>
    <row r="167" spans="1:5" ht="24.75">
      <c r="A167" s="11" t="s">
        <v>363</v>
      </c>
      <c r="B167" s="11" t="s">
        <v>233</v>
      </c>
      <c r="C167" s="11" t="s">
        <v>295</v>
      </c>
      <c r="D167" s="11" t="s">
        <v>1932</v>
      </c>
      <c r="E167" s="11">
        <v>1.117029535900341</v>
      </c>
    </row>
    <row r="168" spans="1:5" ht="24.75">
      <c r="A168" s="11" t="s">
        <v>363</v>
      </c>
      <c r="B168" s="11" t="s">
        <v>233</v>
      </c>
      <c r="C168" s="11" t="s">
        <v>295</v>
      </c>
      <c r="D168" s="11" t="s">
        <v>1933</v>
      </c>
      <c r="E168" s="11">
        <v>0.63023668029262658</v>
      </c>
    </row>
    <row r="169" spans="1:5" ht="24.75">
      <c r="A169" s="11" t="s">
        <v>363</v>
      </c>
      <c r="B169" s="11" t="s">
        <v>233</v>
      </c>
      <c r="C169" s="11" t="s">
        <v>295</v>
      </c>
      <c r="D169" s="11" t="s">
        <v>1934</v>
      </c>
      <c r="E169" s="11">
        <v>0.88206000000000073</v>
      </c>
    </row>
    <row r="170" spans="1:5" ht="24.75">
      <c r="A170" s="11" t="s">
        <v>363</v>
      </c>
      <c r="B170" s="11" t="s">
        <v>233</v>
      </c>
      <c r="C170" s="11" t="s">
        <v>295</v>
      </c>
      <c r="D170" s="11" t="s">
        <v>1935</v>
      </c>
      <c r="E170" s="11">
        <v>0.36298287734987811</v>
      </c>
    </row>
    <row r="171" spans="1:5" ht="24.75">
      <c r="A171" s="11" t="s">
        <v>363</v>
      </c>
      <c r="B171" s="11" t="s">
        <v>233</v>
      </c>
      <c r="C171" s="11" t="s">
        <v>295</v>
      </c>
      <c r="D171" s="11" t="s">
        <v>1936</v>
      </c>
      <c r="E171" s="11">
        <v>0.41514676668381945</v>
      </c>
    </row>
    <row r="172" spans="1:5" ht="24.75">
      <c r="A172" s="11" t="s">
        <v>363</v>
      </c>
      <c r="B172" s="11" t="s">
        <v>233</v>
      </c>
      <c r="C172" s="11" t="s">
        <v>295</v>
      </c>
      <c r="D172" s="11" t="s">
        <v>1937</v>
      </c>
      <c r="E172" s="11">
        <v>0.47739787367985431</v>
      </c>
    </row>
    <row r="173" spans="1:5" ht="24.75">
      <c r="A173" s="11" t="s">
        <v>363</v>
      </c>
      <c r="B173" s="11" t="s">
        <v>233</v>
      </c>
      <c r="C173" s="11" t="s">
        <v>295</v>
      </c>
      <c r="D173" s="11" t="s">
        <v>1938</v>
      </c>
      <c r="E173" s="11">
        <v>0.88206000000000262</v>
      </c>
    </row>
    <row r="174" spans="1:5" ht="24.75">
      <c r="A174" s="11" t="s">
        <v>363</v>
      </c>
      <c r="B174" s="11" t="s">
        <v>233</v>
      </c>
      <c r="C174" s="11" t="s">
        <v>295</v>
      </c>
      <c r="D174" s="11" t="s">
        <v>1939</v>
      </c>
      <c r="E174" s="11">
        <v>0.23742824745126592</v>
      </c>
    </row>
    <row r="175" spans="1:5" ht="24.75">
      <c r="A175" s="11" t="s">
        <v>363</v>
      </c>
      <c r="B175" s="11" t="s">
        <v>233</v>
      </c>
      <c r="C175" s="11" t="s">
        <v>295</v>
      </c>
      <c r="D175" s="11" t="s">
        <v>1940</v>
      </c>
      <c r="E175" s="11">
        <v>0.24495779028761155</v>
      </c>
    </row>
    <row r="176" spans="1:5" ht="24.75">
      <c r="A176" s="11" t="s">
        <v>363</v>
      </c>
      <c r="B176" s="11" t="s">
        <v>233</v>
      </c>
      <c r="C176" s="11" t="s">
        <v>295</v>
      </c>
      <c r="D176" s="11" t="s">
        <v>1941</v>
      </c>
      <c r="E176" s="11">
        <v>0.22798791247845648</v>
      </c>
    </row>
    <row r="177" spans="1:5" ht="24.75">
      <c r="A177" s="11" t="s">
        <v>363</v>
      </c>
      <c r="B177" s="11" t="s">
        <v>233</v>
      </c>
      <c r="C177" s="11" t="s">
        <v>295</v>
      </c>
      <c r="D177" s="11" t="s">
        <v>1942</v>
      </c>
      <c r="E177" s="11">
        <v>0.50590731538251754</v>
      </c>
    </row>
    <row r="178" spans="1:5" ht="24.75">
      <c r="A178" s="11" t="s">
        <v>363</v>
      </c>
      <c r="B178" s="11" t="s">
        <v>233</v>
      </c>
      <c r="C178" s="11" t="s">
        <v>295</v>
      </c>
      <c r="D178" s="11" t="s">
        <v>1943</v>
      </c>
      <c r="E178" s="11">
        <v>0.55090006329026875</v>
      </c>
    </row>
    <row r="179" spans="1:5" ht="24.75">
      <c r="A179" s="11" t="s">
        <v>363</v>
      </c>
      <c r="B179" s="11" t="s">
        <v>233</v>
      </c>
      <c r="C179" s="11" t="s">
        <v>295</v>
      </c>
      <c r="D179" s="11" t="s">
        <v>1944</v>
      </c>
      <c r="E179" s="11">
        <v>0.88202170508382494</v>
      </c>
    </row>
    <row r="180" spans="1:5" ht="24.75">
      <c r="A180" s="11" t="s">
        <v>363</v>
      </c>
      <c r="B180" s="11" t="s">
        <v>233</v>
      </c>
      <c r="C180" s="11" t="s">
        <v>295</v>
      </c>
      <c r="D180" s="11" t="s">
        <v>1945</v>
      </c>
      <c r="E180" s="11">
        <v>0.22535335887686433</v>
      </c>
    </row>
    <row r="181" spans="1:5" ht="24.75">
      <c r="A181" s="11" t="s">
        <v>363</v>
      </c>
      <c r="B181" s="11" t="s">
        <v>233</v>
      </c>
      <c r="C181" s="11" t="s">
        <v>295</v>
      </c>
      <c r="D181" s="11" t="s">
        <v>1946</v>
      </c>
      <c r="E181" s="11">
        <v>7.3559999999999626E-2</v>
      </c>
    </row>
    <row r="182" spans="1:5" ht="24.75">
      <c r="A182" s="11" t="s">
        <v>363</v>
      </c>
      <c r="B182" s="11" t="s">
        <v>233</v>
      </c>
      <c r="C182" s="11" t="s">
        <v>295</v>
      </c>
      <c r="D182" s="11" t="s">
        <v>1947</v>
      </c>
      <c r="E182" s="11">
        <v>0.13124690703064437</v>
      </c>
    </row>
    <row r="183" spans="1:5" ht="24.75">
      <c r="A183" s="11" t="s">
        <v>363</v>
      </c>
      <c r="B183" s="11" t="s">
        <v>233</v>
      </c>
      <c r="C183" s="11" t="s">
        <v>295</v>
      </c>
      <c r="D183" s="11" t="s">
        <v>1948</v>
      </c>
      <c r="E183" s="11">
        <v>0.88206000000000218</v>
      </c>
    </row>
    <row r="184" spans="1:5" ht="24.75">
      <c r="A184" s="11" t="s">
        <v>363</v>
      </c>
      <c r="B184" s="11" t="s">
        <v>233</v>
      </c>
      <c r="C184" s="11" t="s">
        <v>295</v>
      </c>
      <c r="D184" s="11" t="s">
        <v>1949</v>
      </c>
      <c r="E184" s="11">
        <v>0.2</v>
      </c>
    </row>
    <row r="185" spans="1:5" ht="24.75">
      <c r="A185" s="11" t="s">
        <v>363</v>
      </c>
      <c r="B185" s="11" t="s">
        <v>233</v>
      </c>
      <c r="C185" s="11" t="s">
        <v>295</v>
      </c>
      <c r="D185" s="11" t="s">
        <v>1950</v>
      </c>
      <c r="E185" s="11">
        <v>0.44016000000000444</v>
      </c>
    </row>
    <row r="186" spans="1:5" ht="24.75">
      <c r="A186" s="11" t="s">
        <v>363</v>
      </c>
      <c r="B186" s="11" t="s">
        <v>233</v>
      </c>
      <c r="C186" s="11" t="s">
        <v>295</v>
      </c>
      <c r="D186" s="11" t="s">
        <v>1951</v>
      </c>
      <c r="E186" s="11">
        <v>7.8560000000000116E-2</v>
      </c>
    </row>
    <row r="187" spans="1:5" ht="24.75">
      <c r="A187" s="11" t="s">
        <v>363</v>
      </c>
      <c r="B187" s="11" t="s">
        <v>233</v>
      </c>
      <c r="C187" s="11" t="s">
        <v>295</v>
      </c>
      <c r="D187" s="11" t="s">
        <v>1952</v>
      </c>
      <c r="E187" s="11">
        <v>0.16124690703067032</v>
      </c>
    </row>
    <row r="188" spans="1:5" ht="24.75">
      <c r="A188" s="11" t="s">
        <v>363</v>
      </c>
      <c r="B188" s="11" t="s">
        <v>233</v>
      </c>
      <c r="C188" s="11" t="s">
        <v>295</v>
      </c>
      <c r="D188" s="11" t="s">
        <v>1953</v>
      </c>
      <c r="E188" s="11">
        <v>0.88206000000000018</v>
      </c>
    </row>
    <row r="189" spans="1:5" ht="24.75">
      <c r="A189" s="11" t="s">
        <v>363</v>
      </c>
      <c r="B189" s="11" t="s">
        <v>233</v>
      </c>
      <c r="C189" s="11" t="s">
        <v>295</v>
      </c>
      <c r="D189" s="11" t="s">
        <v>1954</v>
      </c>
      <c r="E189" s="11">
        <v>0.16000000000000045</v>
      </c>
    </row>
    <row r="190" spans="1:5" ht="24.75">
      <c r="A190" s="11" t="s">
        <v>363</v>
      </c>
      <c r="B190" s="11" t="s">
        <v>233</v>
      </c>
      <c r="C190" s="11" t="s">
        <v>295</v>
      </c>
      <c r="D190" s="11" t="s">
        <v>1955</v>
      </c>
      <c r="E190" s="11">
        <v>3.6225521667061193</v>
      </c>
    </row>
    <row r="191" spans="1:5" ht="24.75">
      <c r="A191" s="11" t="s">
        <v>363</v>
      </c>
      <c r="B191" s="11" t="s">
        <v>233</v>
      </c>
      <c r="C191" s="11" t="s">
        <v>295</v>
      </c>
      <c r="D191" s="11" t="s">
        <v>1956</v>
      </c>
      <c r="E191" s="11">
        <v>0.10306941171821532</v>
      </c>
    </row>
    <row r="192" spans="1:5" ht="24.75">
      <c r="A192" s="11" t="s">
        <v>363</v>
      </c>
      <c r="B192" s="11" t="s">
        <v>233</v>
      </c>
      <c r="C192" s="11" t="s">
        <v>295</v>
      </c>
      <c r="D192" s="11" t="s">
        <v>1957</v>
      </c>
      <c r="E192" s="11">
        <v>0.1468304597066325</v>
      </c>
    </row>
    <row r="193" spans="1:5" ht="24.75">
      <c r="A193" s="11" t="s">
        <v>363</v>
      </c>
      <c r="B193" s="11" t="s">
        <v>233</v>
      </c>
      <c r="C193" s="11" t="s">
        <v>295</v>
      </c>
      <c r="D193" s="11" t="s">
        <v>1958</v>
      </c>
      <c r="E193" s="11">
        <v>0.87514133943136097</v>
      </c>
    </row>
    <row r="194" spans="1:5" ht="24.75">
      <c r="A194" s="11" t="s">
        <v>363</v>
      </c>
      <c r="B194" s="11" t="s">
        <v>233</v>
      </c>
      <c r="C194" s="11" t="s">
        <v>295</v>
      </c>
      <c r="D194" s="11" t="s">
        <v>1959</v>
      </c>
      <c r="E194" s="11">
        <v>0.13920559563914214</v>
      </c>
    </row>
    <row r="195" spans="1:5" ht="24.75">
      <c r="A195" s="11" t="s">
        <v>363</v>
      </c>
      <c r="B195" s="11" t="s">
        <v>233</v>
      </c>
      <c r="C195" s="11" t="s">
        <v>295</v>
      </c>
      <c r="D195" s="11" t="s">
        <v>1960</v>
      </c>
      <c r="E195" s="11">
        <v>0.88206000000000262</v>
      </c>
    </row>
    <row r="196" spans="1:5" ht="24.75">
      <c r="A196" s="11" t="s">
        <v>363</v>
      </c>
      <c r="B196" s="11" t="s">
        <v>233</v>
      </c>
      <c r="C196" s="11" t="s">
        <v>295</v>
      </c>
      <c r="D196" s="11" t="s">
        <v>1961</v>
      </c>
      <c r="E196" s="11">
        <v>0.44018506160000448</v>
      </c>
    </row>
    <row r="197" spans="1:5" ht="24.75">
      <c r="A197" s="11" t="s">
        <v>363</v>
      </c>
      <c r="B197" s="11" t="s">
        <v>233</v>
      </c>
      <c r="C197" s="11" t="s">
        <v>295</v>
      </c>
      <c r="D197" s="11" t="s">
        <v>1962</v>
      </c>
      <c r="E197" s="11">
        <v>0.51504372216864647</v>
      </c>
    </row>
    <row r="198" spans="1:5" ht="24.75">
      <c r="A198" s="11" t="s">
        <v>363</v>
      </c>
      <c r="B198" s="11" t="s">
        <v>233</v>
      </c>
      <c r="C198" s="11" t="s">
        <v>295</v>
      </c>
      <c r="D198" s="11" t="s">
        <v>1963</v>
      </c>
      <c r="E198" s="11">
        <v>1.5758666634030465</v>
      </c>
    </row>
    <row r="199" spans="1:5" ht="24.75">
      <c r="A199" s="11" t="s">
        <v>363</v>
      </c>
      <c r="B199" s="11" t="s">
        <v>233</v>
      </c>
      <c r="C199" s="11" t="s">
        <v>295</v>
      </c>
      <c r="D199" s="11" t="s">
        <v>1964</v>
      </c>
      <c r="E199" s="11">
        <v>3.5529587675595899</v>
      </c>
    </row>
    <row r="200" spans="1:5" ht="24.75">
      <c r="A200" s="11" t="s">
        <v>363</v>
      </c>
      <c r="B200" s="11" t="s">
        <v>233</v>
      </c>
      <c r="C200" s="11" t="s">
        <v>295</v>
      </c>
      <c r="D200" s="11" t="s">
        <v>1965</v>
      </c>
      <c r="E200" s="11">
        <v>9.5275088069027236E-2</v>
      </c>
    </row>
    <row r="201" spans="1:5" ht="24.75">
      <c r="A201" s="11" t="s">
        <v>363</v>
      </c>
      <c r="B201" s="11" t="s">
        <v>233</v>
      </c>
      <c r="C201" s="11" t="s">
        <v>295</v>
      </c>
      <c r="D201" s="11" t="s">
        <v>1966</v>
      </c>
      <c r="E201" s="11">
        <v>0.11739140939895636</v>
      </c>
    </row>
    <row r="202" spans="1:5" ht="24.75">
      <c r="A202" s="11" t="s">
        <v>363</v>
      </c>
      <c r="B202" s="11" t="s">
        <v>233</v>
      </c>
      <c r="C202" s="11" t="s">
        <v>295</v>
      </c>
      <c r="D202" s="11" t="s">
        <v>1967</v>
      </c>
      <c r="E202" s="11">
        <v>1.4570907547652063</v>
      </c>
    </row>
    <row r="203" spans="1:5" ht="24.75">
      <c r="A203" s="11" t="s">
        <v>363</v>
      </c>
      <c r="B203" s="11" t="s">
        <v>233</v>
      </c>
      <c r="C203" s="11" t="s">
        <v>295</v>
      </c>
      <c r="D203" s="11" t="s">
        <v>1968</v>
      </c>
      <c r="E203" s="11">
        <v>1.7127443717107664</v>
      </c>
    </row>
    <row r="204" spans="1:5" ht="24.75">
      <c r="A204" s="11" t="s">
        <v>363</v>
      </c>
      <c r="B204" s="11" t="s">
        <v>233</v>
      </c>
      <c r="C204" s="11" t="s">
        <v>295</v>
      </c>
      <c r="D204" s="11" t="s">
        <v>1969</v>
      </c>
      <c r="E204" s="11">
        <v>0.1937061008860573</v>
      </c>
    </row>
    <row r="205" spans="1:5" ht="24.75">
      <c r="A205" s="11" t="s">
        <v>363</v>
      </c>
      <c r="B205" s="11" t="s">
        <v>233</v>
      </c>
      <c r="C205" s="11" t="s">
        <v>295</v>
      </c>
      <c r="D205" s="11" t="s">
        <v>1970</v>
      </c>
      <c r="E205" s="11">
        <v>0.50144105939947059</v>
      </c>
    </row>
    <row r="206" spans="1:5" ht="24.75">
      <c r="A206" s="11" t="s">
        <v>363</v>
      </c>
      <c r="B206" s="11" t="s">
        <v>233</v>
      </c>
      <c r="C206" s="11" t="s">
        <v>295</v>
      </c>
      <c r="D206" s="11" t="s">
        <v>1971</v>
      </c>
      <c r="E206" s="11">
        <v>2.5996563929491905</v>
      </c>
    </row>
    <row r="207" spans="1:5" ht="24.75">
      <c r="A207" s="11" t="s">
        <v>363</v>
      </c>
      <c r="B207" s="11" t="s">
        <v>233</v>
      </c>
      <c r="C207" s="11" t="s">
        <v>295</v>
      </c>
      <c r="D207" s="11" t="s">
        <v>1972</v>
      </c>
      <c r="E207" s="11">
        <v>6.837133945007999E-2</v>
      </c>
    </row>
    <row r="208" spans="1:5" ht="24.75">
      <c r="A208" s="11" t="s">
        <v>363</v>
      </c>
      <c r="B208" s="11" t="s">
        <v>233</v>
      </c>
      <c r="C208" s="11" t="s">
        <v>295</v>
      </c>
      <c r="D208" s="11" t="s">
        <v>1973</v>
      </c>
      <c r="E208" s="11">
        <v>2.0720600000107101</v>
      </c>
    </row>
    <row r="209" spans="1:5" ht="24.75">
      <c r="A209" s="11" t="s">
        <v>363</v>
      </c>
      <c r="B209" s="11" t="s">
        <v>233</v>
      </c>
      <c r="C209" s="11" t="s">
        <v>295</v>
      </c>
      <c r="D209" s="11" t="s">
        <v>1974</v>
      </c>
      <c r="E209" s="11">
        <v>0.23079440066053902</v>
      </c>
    </row>
    <row r="210" spans="1:5" ht="24.75">
      <c r="A210" s="11" t="s">
        <v>363</v>
      </c>
      <c r="B210" s="11" t="s">
        <v>233</v>
      </c>
      <c r="C210" s="11" t="s">
        <v>295</v>
      </c>
      <c r="D210" s="11" t="s">
        <v>1975</v>
      </c>
      <c r="E210" s="11">
        <v>1.184163039516583</v>
      </c>
    </row>
    <row r="211" spans="1:5" ht="24.75">
      <c r="A211" s="11" t="s">
        <v>363</v>
      </c>
      <c r="B211" s="11" t="s">
        <v>233</v>
      </c>
      <c r="C211" s="11" t="s">
        <v>295</v>
      </c>
      <c r="D211" s="11" t="s">
        <v>1976</v>
      </c>
      <c r="E211" s="11">
        <v>0.40707776844761279</v>
      </c>
    </row>
    <row r="212" spans="1:5" ht="24.75">
      <c r="A212" s="11" t="s">
        <v>363</v>
      </c>
      <c r="B212" s="11" t="s">
        <v>233</v>
      </c>
      <c r="C212" s="11" t="s">
        <v>295</v>
      </c>
      <c r="D212" s="11" t="s">
        <v>1977</v>
      </c>
      <c r="E212" s="11">
        <v>0.38092986917899629</v>
      </c>
    </row>
    <row r="213" spans="1:5" ht="24.75">
      <c r="A213" s="11" t="s">
        <v>363</v>
      </c>
      <c r="B213" s="11" t="s">
        <v>233</v>
      </c>
      <c r="C213" s="11" t="s">
        <v>295</v>
      </c>
      <c r="D213" s="11" t="s">
        <v>1978</v>
      </c>
      <c r="E213" s="11">
        <v>1.1797143674525166</v>
      </c>
    </row>
    <row r="214" spans="1:5" ht="24.75">
      <c r="A214" s="11" t="s">
        <v>363</v>
      </c>
      <c r="B214" s="11" t="s">
        <v>233</v>
      </c>
      <c r="C214" s="11" t="s">
        <v>295</v>
      </c>
      <c r="D214" s="11" t="s">
        <v>1979</v>
      </c>
      <c r="E214" s="11">
        <v>0.83267869138424233</v>
      </c>
    </row>
    <row r="215" spans="1:5" ht="24.75">
      <c r="A215" s="11" t="s">
        <v>363</v>
      </c>
      <c r="B215" s="11" t="s">
        <v>233</v>
      </c>
      <c r="C215" s="11" t="s">
        <v>295</v>
      </c>
      <c r="D215" s="11" t="s">
        <v>1980</v>
      </c>
      <c r="E215" s="11">
        <v>0.12355999999999963</v>
      </c>
    </row>
    <row r="216" spans="1:5" ht="24.75">
      <c r="A216" s="11" t="s">
        <v>363</v>
      </c>
      <c r="B216" s="11" t="s">
        <v>233</v>
      </c>
      <c r="C216" s="11" t="s">
        <v>295</v>
      </c>
      <c r="D216" s="11" t="s">
        <v>1981</v>
      </c>
      <c r="E216" s="11">
        <v>0.33252506160001327</v>
      </c>
    </row>
    <row r="217" spans="1:5" ht="24.75">
      <c r="A217" s="11" t="s">
        <v>363</v>
      </c>
      <c r="B217" s="11" t="s">
        <v>233</v>
      </c>
      <c r="C217" s="11" t="s">
        <v>295</v>
      </c>
      <c r="D217" s="11" t="s">
        <v>1982</v>
      </c>
      <c r="E217" s="11">
        <v>2.5101670780479872</v>
      </c>
    </row>
    <row r="218" spans="1:5" ht="24.75">
      <c r="A218" s="11" t="s">
        <v>363</v>
      </c>
      <c r="B218" s="11" t="s">
        <v>233</v>
      </c>
      <c r="C218" s="11" t="s">
        <v>295</v>
      </c>
      <c r="D218" s="11" t="s">
        <v>1983</v>
      </c>
      <c r="E218" s="11">
        <v>0.23412499999999808</v>
      </c>
    </row>
    <row r="219" spans="1:5" ht="24.75">
      <c r="A219" s="11" t="s">
        <v>363</v>
      </c>
      <c r="B219" s="11" t="s">
        <v>233</v>
      </c>
      <c r="C219" s="11" t="s">
        <v>295</v>
      </c>
      <c r="D219" s="11" t="s">
        <v>1984</v>
      </c>
      <c r="E219" s="11">
        <v>0.88206000000000484</v>
      </c>
    </row>
    <row r="220" spans="1:5" ht="24.75">
      <c r="A220" s="11" t="s">
        <v>363</v>
      </c>
      <c r="B220" s="11" t="s">
        <v>233</v>
      </c>
      <c r="C220" s="11" t="s">
        <v>295</v>
      </c>
      <c r="D220" s="11" t="s">
        <v>1985</v>
      </c>
      <c r="E220" s="11">
        <v>0.1299999999999997</v>
      </c>
    </row>
    <row r="221" spans="1:5" ht="24.75">
      <c r="A221" s="11" t="s">
        <v>363</v>
      </c>
      <c r="B221" s="11" t="s">
        <v>233</v>
      </c>
      <c r="C221" s="11" t="s">
        <v>295</v>
      </c>
      <c r="D221" s="11" t="s">
        <v>1986</v>
      </c>
      <c r="E221" s="11">
        <v>4.715555726758268</v>
      </c>
    </row>
    <row r="222" spans="1:5" ht="24.75">
      <c r="A222" s="11" t="s">
        <v>363</v>
      </c>
      <c r="B222" s="11" t="s">
        <v>233</v>
      </c>
      <c r="C222" s="11" t="s">
        <v>295</v>
      </c>
      <c r="D222" s="11" t="s">
        <v>1987</v>
      </c>
      <c r="E222" s="11">
        <v>8.0010063381155364E-2</v>
      </c>
    </row>
    <row r="223" spans="1:5" ht="24.75">
      <c r="A223" s="11" t="s">
        <v>363</v>
      </c>
      <c r="B223" s="11" t="s">
        <v>233</v>
      </c>
      <c r="C223" s="11" t="s">
        <v>295</v>
      </c>
      <c r="D223" s="11" t="s">
        <v>1988</v>
      </c>
      <c r="E223" s="11">
        <v>0.42130525750775982</v>
      </c>
    </row>
    <row r="224" spans="1:5" ht="24.75">
      <c r="A224" s="11" t="s">
        <v>363</v>
      </c>
      <c r="B224" s="11" t="s">
        <v>233</v>
      </c>
      <c r="C224" s="11" t="s">
        <v>295</v>
      </c>
      <c r="D224" s="11" t="s">
        <v>1989</v>
      </c>
      <c r="E224" s="11">
        <v>0.43001525750776115</v>
      </c>
    </row>
    <row r="225" spans="1:5" ht="24.75">
      <c r="A225" s="11" t="s">
        <v>363</v>
      </c>
      <c r="B225" s="11" t="s">
        <v>233</v>
      </c>
      <c r="C225" s="11" t="s">
        <v>295</v>
      </c>
      <c r="D225" s="11" t="s">
        <v>1990</v>
      </c>
      <c r="E225" s="11">
        <v>8.3541020584700282E-2</v>
      </c>
    </row>
    <row r="226" spans="1:5" ht="24.75">
      <c r="A226" s="11" t="s">
        <v>363</v>
      </c>
      <c r="B226" s="11" t="s">
        <v>233</v>
      </c>
      <c r="C226" s="11" t="s">
        <v>295</v>
      </c>
      <c r="D226" s="11" t="s">
        <v>1991</v>
      </c>
      <c r="E226" s="11">
        <v>8.4354509618012191E-2</v>
      </c>
    </row>
    <row r="227" spans="1:5" ht="24.75">
      <c r="A227" s="11" t="s">
        <v>363</v>
      </c>
      <c r="B227" s="11" t="s">
        <v>233</v>
      </c>
      <c r="C227" s="11" t="s">
        <v>295</v>
      </c>
      <c r="D227" s="11" t="s">
        <v>1992</v>
      </c>
      <c r="E227" s="11">
        <v>7.0960000000027293E-2</v>
      </c>
    </row>
    <row r="228" spans="1:5" ht="24.75">
      <c r="A228" s="11" t="s">
        <v>363</v>
      </c>
      <c r="B228" s="11" t="s">
        <v>233</v>
      </c>
      <c r="C228" s="11" t="s">
        <v>295</v>
      </c>
      <c r="D228" s="11" t="s">
        <v>1993</v>
      </c>
      <c r="E228" s="11">
        <v>0.44318508920569533</v>
      </c>
    </row>
    <row r="229" spans="1:5" ht="24.75">
      <c r="A229" s="11" t="s">
        <v>363</v>
      </c>
      <c r="B229" s="11" t="s">
        <v>233</v>
      </c>
      <c r="C229" s="11" t="s">
        <v>295</v>
      </c>
      <c r="D229" s="11" t="s">
        <v>1994</v>
      </c>
      <c r="E229" s="11">
        <v>0.37524506192743318</v>
      </c>
    </row>
    <row r="230" spans="1:5" ht="24.75">
      <c r="A230" s="11" t="s">
        <v>363</v>
      </c>
      <c r="B230" s="11" t="s">
        <v>233</v>
      </c>
      <c r="C230" s="11" t="s">
        <v>295</v>
      </c>
      <c r="D230" s="11" t="s">
        <v>1995</v>
      </c>
      <c r="E230" s="11">
        <v>0.786068072815161</v>
      </c>
    </row>
    <row r="231" spans="1:5" ht="24.75">
      <c r="A231" s="11" t="s">
        <v>363</v>
      </c>
      <c r="B231" s="11" t="s">
        <v>233</v>
      </c>
      <c r="C231" s="11" t="s">
        <v>295</v>
      </c>
      <c r="D231" s="11" t="s">
        <v>1996</v>
      </c>
      <c r="E231" s="11">
        <v>8.2384265331465117E-2</v>
      </c>
    </row>
    <row r="232" spans="1:5" ht="24.75">
      <c r="A232" s="11" t="s">
        <v>363</v>
      </c>
      <c r="B232" s="11" t="s">
        <v>233</v>
      </c>
      <c r="C232" s="11" t="s">
        <v>295</v>
      </c>
      <c r="D232" s="11" t="s">
        <v>1997</v>
      </c>
      <c r="E232" s="11">
        <v>8.7215725429074034E-2</v>
      </c>
    </row>
    <row r="233" spans="1:5" ht="24.75">
      <c r="A233" s="11" t="s">
        <v>363</v>
      </c>
      <c r="B233" s="11" t="s">
        <v>233</v>
      </c>
      <c r="C233" s="11" t="s">
        <v>295</v>
      </c>
      <c r="D233" s="11" t="s">
        <v>1998</v>
      </c>
      <c r="E233" s="11">
        <v>8.4147188287578056E-2</v>
      </c>
    </row>
    <row r="234" spans="1:5" ht="24.75">
      <c r="A234" s="11" t="s">
        <v>363</v>
      </c>
      <c r="B234" s="11" t="s">
        <v>233</v>
      </c>
      <c r="C234" s="11" t="s">
        <v>295</v>
      </c>
      <c r="D234" s="11" t="s">
        <v>1999</v>
      </c>
      <c r="E234" s="11">
        <v>0.13499999999999934</v>
      </c>
    </row>
    <row r="235" spans="1:5" ht="24.75">
      <c r="A235" s="11" t="s">
        <v>363</v>
      </c>
      <c r="B235" s="11" t="s">
        <v>233</v>
      </c>
      <c r="C235" s="11" t="s">
        <v>295</v>
      </c>
      <c r="D235" s="11" t="s">
        <v>2000</v>
      </c>
      <c r="E235" s="11">
        <v>0.40707834129143622</v>
      </c>
    </row>
    <row r="236" spans="1:5" ht="24.75">
      <c r="A236" s="11" t="s">
        <v>363</v>
      </c>
      <c r="B236" s="11" t="s">
        <v>233</v>
      </c>
      <c r="C236" s="11" t="s">
        <v>295</v>
      </c>
      <c r="D236" s="11" t="s">
        <v>2001</v>
      </c>
      <c r="E236" s="11">
        <v>0.72509435259876787</v>
      </c>
    </row>
    <row r="237" spans="1:5" ht="24.75">
      <c r="A237" s="11" t="s">
        <v>363</v>
      </c>
      <c r="B237" s="11" t="s">
        <v>233</v>
      </c>
      <c r="C237" s="11" t="s">
        <v>295</v>
      </c>
      <c r="D237" s="11" t="s">
        <v>2002</v>
      </c>
      <c r="E237" s="11">
        <v>1.3788955049275888</v>
      </c>
    </row>
    <row r="238" spans="1:5" ht="24.75">
      <c r="A238" s="11" t="s">
        <v>363</v>
      </c>
      <c r="B238" s="11" t="s">
        <v>233</v>
      </c>
      <c r="C238" s="11" t="s">
        <v>295</v>
      </c>
      <c r="D238" s="11" t="s">
        <v>2003</v>
      </c>
      <c r="E238" s="11">
        <v>9.3327468247459619E-2</v>
      </c>
    </row>
    <row r="239" spans="1:5" ht="24.75">
      <c r="A239" s="11" t="s">
        <v>363</v>
      </c>
      <c r="B239" s="11" t="s">
        <v>233</v>
      </c>
      <c r="C239" s="11" t="s">
        <v>295</v>
      </c>
      <c r="D239" s="11" t="s">
        <v>2004</v>
      </c>
      <c r="E239" s="11">
        <v>0.2804230645581211</v>
      </c>
    </row>
    <row r="240" spans="1:5" ht="24.75">
      <c r="A240" s="11" t="s">
        <v>363</v>
      </c>
      <c r="B240" s="11" t="s">
        <v>233</v>
      </c>
      <c r="C240" s="11" t="s">
        <v>295</v>
      </c>
      <c r="D240" s="11" t="s">
        <v>2005</v>
      </c>
      <c r="E240" s="11">
        <v>0.15851795480393607</v>
      </c>
    </row>
    <row r="241" spans="1:5" ht="24.75">
      <c r="A241" s="11" t="s">
        <v>363</v>
      </c>
      <c r="B241" s="11" t="s">
        <v>233</v>
      </c>
      <c r="C241" s="11" t="s">
        <v>295</v>
      </c>
      <c r="D241" s="11" t="s">
        <v>2006</v>
      </c>
      <c r="E241" s="11">
        <v>0.11039892085189063</v>
      </c>
    </row>
    <row r="242" spans="1:5" ht="24.75">
      <c r="A242" s="11" t="s">
        <v>363</v>
      </c>
      <c r="B242" s="11" t="s">
        <v>233</v>
      </c>
      <c r="C242" s="11" t="s">
        <v>295</v>
      </c>
      <c r="D242" s="11" t="s">
        <v>2007</v>
      </c>
      <c r="E242" s="11">
        <v>0.94880067964060111</v>
      </c>
    </row>
    <row r="243" spans="1:5" ht="24.75">
      <c r="A243" s="11" t="s">
        <v>363</v>
      </c>
      <c r="B243" s="11" t="s">
        <v>233</v>
      </c>
      <c r="C243" s="11" t="s">
        <v>295</v>
      </c>
      <c r="D243" s="11" t="s">
        <v>2008</v>
      </c>
      <c r="E243" s="11">
        <v>0.61657076081769979</v>
      </c>
    </row>
    <row r="244" spans="1:5" ht="24.75">
      <c r="A244" s="11" t="s">
        <v>363</v>
      </c>
      <c r="B244" s="11" t="s">
        <v>233</v>
      </c>
      <c r="C244" s="11" t="s">
        <v>295</v>
      </c>
      <c r="D244" s="11" t="s">
        <v>2009</v>
      </c>
      <c r="E244" s="11">
        <v>2.253297703509177</v>
      </c>
    </row>
    <row r="245" spans="1:5" ht="24.75">
      <c r="A245" s="11" t="s">
        <v>363</v>
      </c>
      <c r="B245" s="11" t="s">
        <v>233</v>
      </c>
      <c r="C245" s="11" t="s">
        <v>295</v>
      </c>
      <c r="D245" s="11" t="s">
        <v>2010</v>
      </c>
      <c r="E245" s="11">
        <v>9.6800000000014708E-2</v>
      </c>
    </row>
    <row r="246" spans="1:5" ht="24.75">
      <c r="A246" s="11" t="s">
        <v>363</v>
      </c>
      <c r="B246" s="11" t="s">
        <v>233</v>
      </c>
      <c r="C246" s="11" t="s">
        <v>295</v>
      </c>
      <c r="D246" s="11" t="s">
        <v>2011</v>
      </c>
      <c r="E246" s="11">
        <v>7.0960013934939156E-2</v>
      </c>
    </row>
    <row r="247" spans="1:5" ht="24.75">
      <c r="A247" s="11" t="s">
        <v>363</v>
      </c>
      <c r="B247" s="11" t="s">
        <v>233</v>
      </c>
      <c r="C247" s="11" t="s">
        <v>295</v>
      </c>
      <c r="D247" s="11" t="s">
        <v>2012</v>
      </c>
      <c r="E247" s="11">
        <v>7.9273794612782722E-2</v>
      </c>
    </row>
    <row r="248" spans="1:5" ht="24.75">
      <c r="A248" s="11" t="s">
        <v>363</v>
      </c>
      <c r="B248" s="11" t="s">
        <v>233</v>
      </c>
      <c r="C248" s="11" t="s">
        <v>295</v>
      </c>
      <c r="D248" s="11" t="s">
        <v>2013</v>
      </c>
      <c r="E248" s="11">
        <v>7.9561730546203552E-2</v>
      </c>
    </row>
    <row r="249" spans="1:5" ht="24.75">
      <c r="A249" s="11" t="s">
        <v>363</v>
      </c>
      <c r="B249" s="11" t="s">
        <v>233</v>
      </c>
      <c r="C249" s="11" t="s">
        <v>295</v>
      </c>
      <c r="D249" s="11" t="s">
        <v>2014</v>
      </c>
      <c r="E249" s="11">
        <v>8.479907863522855E-2</v>
      </c>
    </row>
    <row r="250" spans="1:5" ht="24.75">
      <c r="A250" s="11" t="s">
        <v>363</v>
      </c>
      <c r="B250" s="11" t="s">
        <v>233</v>
      </c>
      <c r="C250" s="11" t="s">
        <v>295</v>
      </c>
      <c r="D250" s="11" t="s">
        <v>2015</v>
      </c>
      <c r="E250" s="11">
        <v>0.13132133891319081</v>
      </c>
    </row>
    <row r="251" spans="1:5" ht="24.75">
      <c r="A251" s="11" t="s">
        <v>363</v>
      </c>
      <c r="B251" s="11" t="s">
        <v>233</v>
      </c>
      <c r="C251" s="11" t="s">
        <v>295</v>
      </c>
      <c r="D251" s="11" t="s">
        <v>2016</v>
      </c>
      <c r="E251" s="11">
        <v>0.11752637029202126</v>
      </c>
    </row>
    <row r="252" spans="1:5" ht="24.75">
      <c r="A252" s="11" t="s">
        <v>363</v>
      </c>
      <c r="B252" s="11" t="s">
        <v>233</v>
      </c>
      <c r="C252" s="11" t="s">
        <v>295</v>
      </c>
      <c r="D252" s="11" t="s">
        <v>2017</v>
      </c>
      <c r="E252" s="11">
        <v>7.0363476554946888E-2</v>
      </c>
    </row>
    <row r="253" spans="1:5" ht="24.75">
      <c r="A253" s="11" t="s">
        <v>363</v>
      </c>
      <c r="B253" s="11" t="s">
        <v>233</v>
      </c>
      <c r="C253" s="11" t="s">
        <v>295</v>
      </c>
      <c r="D253" s="11" t="s">
        <v>2018</v>
      </c>
      <c r="E253" s="11">
        <v>0.1059170490427422</v>
      </c>
    </row>
    <row r="254" spans="1:5" ht="24.75">
      <c r="A254" s="11" t="s">
        <v>363</v>
      </c>
      <c r="B254" s="11" t="s">
        <v>233</v>
      </c>
      <c r="C254" s="11" t="s">
        <v>295</v>
      </c>
      <c r="D254" s="11" t="s">
        <v>2019</v>
      </c>
      <c r="E254" s="11">
        <v>7.8927037108018031E-2</v>
      </c>
    </row>
    <row r="255" spans="1:5" ht="24.75">
      <c r="A255" s="11" t="s">
        <v>363</v>
      </c>
      <c r="B255" s="11" t="s">
        <v>233</v>
      </c>
      <c r="C255" s="11" t="s">
        <v>295</v>
      </c>
      <c r="D255" s="11" t="s">
        <v>2020</v>
      </c>
      <c r="E255" s="11">
        <v>7.892703712958711E-2</v>
      </c>
    </row>
    <row r="256" spans="1:5" ht="24.75">
      <c r="A256" s="11" t="s">
        <v>363</v>
      </c>
      <c r="B256" s="11" t="s">
        <v>233</v>
      </c>
      <c r="C256" s="11" t="s">
        <v>295</v>
      </c>
      <c r="D256" s="11" t="s">
        <v>2021</v>
      </c>
      <c r="E256" s="11">
        <v>0.10542396113036406</v>
      </c>
    </row>
    <row r="257" spans="1:5" ht="24.75">
      <c r="A257" s="11" t="s">
        <v>363</v>
      </c>
      <c r="B257" s="11" t="s">
        <v>233</v>
      </c>
      <c r="C257" s="11" t="s">
        <v>295</v>
      </c>
      <c r="D257" s="11" t="s">
        <v>2022</v>
      </c>
      <c r="E257" s="11">
        <v>0.14233857888662033</v>
      </c>
    </row>
    <row r="258" spans="1:5" ht="24.75">
      <c r="A258" s="11" t="s">
        <v>363</v>
      </c>
      <c r="B258" s="11" t="s">
        <v>233</v>
      </c>
      <c r="C258" s="11" t="s">
        <v>295</v>
      </c>
      <c r="D258" s="11" t="s">
        <v>2023</v>
      </c>
      <c r="E258" s="11">
        <v>0.18840889445495904</v>
      </c>
    </row>
    <row r="259" spans="1:5" ht="24.75">
      <c r="A259" s="11" t="s">
        <v>363</v>
      </c>
      <c r="B259" s="11" t="s">
        <v>233</v>
      </c>
      <c r="C259" s="11" t="s">
        <v>295</v>
      </c>
      <c r="D259" s="11" t="s">
        <v>2024</v>
      </c>
      <c r="E259" s="11">
        <v>6.2717056267141164E-2</v>
      </c>
    </row>
    <row r="260" spans="1:5" ht="24.75">
      <c r="A260" s="11" t="s">
        <v>363</v>
      </c>
      <c r="B260" s="11" t="s">
        <v>233</v>
      </c>
      <c r="C260" s="11" t="s">
        <v>295</v>
      </c>
      <c r="D260" s="11" t="s">
        <v>2025</v>
      </c>
      <c r="E260" s="11">
        <v>0.36299505881092303</v>
      </c>
    </row>
    <row r="261" spans="1:5" ht="24.75">
      <c r="A261" s="11" t="s">
        <v>363</v>
      </c>
      <c r="B261" s="11" t="s">
        <v>233</v>
      </c>
      <c r="C261" s="11" t="s">
        <v>295</v>
      </c>
      <c r="D261" s="11" t="s">
        <v>2026</v>
      </c>
      <c r="E261" s="11">
        <v>0.81029176474876785</v>
      </c>
    </row>
    <row r="262" spans="1:5" ht="24.75">
      <c r="A262" s="11" t="s">
        <v>363</v>
      </c>
      <c r="B262" s="11" t="s">
        <v>233</v>
      </c>
      <c r="C262" s="11" t="s">
        <v>295</v>
      </c>
      <c r="D262" s="11" t="s">
        <v>2027</v>
      </c>
      <c r="E262" s="11">
        <v>2.4635599999999993</v>
      </c>
    </row>
    <row r="263" spans="1:5" ht="24.75">
      <c r="A263" s="11" t="s">
        <v>363</v>
      </c>
      <c r="B263" s="11" t="s">
        <v>233</v>
      </c>
      <c r="C263" s="11" t="s">
        <v>295</v>
      </c>
      <c r="D263" s="11" t="s">
        <v>2028</v>
      </c>
      <c r="E263" s="11">
        <v>0.1300713389131877</v>
      </c>
    </row>
    <row r="264" spans="1:5" ht="24.75">
      <c r="A264" s="11" t="s">
        <v>363</v>
      </c>
      <c r="B264" s="11" t="s">
        <v>233</v>
      </c>
      <c r="C264" s="11" t="s">
        <v>295</v>
      </c>
      <c r="D264" s="11" t="s">
        <v>2029</v>
      </c>
      <c r="E264" s="11">
        <v>9.535550874208959E-2</v>
      </c>
    </row>
    <row r="265" spans="1:5" ht="24.75">
      <c r="A265" s="11" t="s">
        <v>363</v>
      </c>
      <c r="B265" s="11" t="s">
        <v>233</v>
      </c>
      <c r="C265" s="11" t="s">
        <v>295</v>
      </c>
      <c r="D265" s="11" t="s">
        <v>2030</v>
      </c>
      <c r="E265" s="11">
        <v>7.0363476554921409E-2</v>
      </c>
    </row>
    <row r="266" spans="1:5" ht="24.75">
      <c r="A266" s="11" t="s">
        <v>363</v>
      </c>
      <c r="B266" s="11" t="s">
        <v>233</v>
      </c>
      <c r="C266" s="11" t="s">
        <v>295</v>
      </c>
      <c r="D266" s="11" t="s">
        <v>2031</v>
      </c>
      <c r="E266" s="11">
        <v>7.0363476576898204E-2</v>
      </c>
    </row>
    <row r="267" spans="1:5" ht="24.75">
      <c r="A267" s="11" t="s">
        <v>363</v>
      </c>
      <c r="B267" s="11" t="s">
        <v>233</v>
      </c>
      <c r="C267" s="11" t="s">
        <v>295</v>
      </c>
      <c r="D267" s="11" t="s">
        <v>2032</v>
      </c>
      <c r="E267" s="11">
        <v>7.8927037108026676E-2</v>
      </c>
    </row>
    <row r="268" spans="1:5" ht="24.75">
      <c r="A268" s="11" t="s">
        <v>363</v>
      </c>
      <c r="B268" s="11" t="s">
        <v>233</v>
      </c>
      <c r="C268" s="11" t="s">
        <v>295</v>
      </c>
      <c r="D268" s="11" t="s">
        <v>2033</v>
      </c>
      <c r="E268" s="11">
        <v>7.8927037129589553E-2</v>
      </c>
    </row>
    <row r="269" spans="1:5" ht="24.75">
      <c r="A269" s="11" t="s">
        <v>363</v>
      </c>
      <c r="B269" s="11" t="s">
        <v>233</v>
      </c>
      <c r="C269" s="11" t="s">
        <v>295</v>
      </c>
      <c r="D269" s="11" t="s">
        <v>2034</v>
      </c>
      <c r="E269" s="11">
        <v>9.6834071937677083E-2</v>
      </c>
    </row>
    <row r="270" spans="1:5" ht="24.75">
      <c r="A270" s="11" t="s">
        <v>363</v>
      </c>
      <c r="B270" s="11" t="s">
        <v>233</v>
      </c>
      <c r="C270" s="11" t="s">
        <v>295</v>
      </c>
      <c r="D270" s="11" t="s">
        <v>2035</v>
      </c>
      <c r="E270" s="11">
        <v>0.14233857888663504</v>
      </c>
    </row>
    <row r="271" spans="1:5" ht="24.75">
      <c r="A271" s="11" t="s">
        <v>363</v>
      </c>
      <c r="B271" s="11" t="s">
        <v>233</v>
      </c>
      <c r="C271" s="11" t="s">
        <v>295</v>
      </c>
      <c r="D271" s="11" t="s">
        <v>2036</v>
      </c>
      <c r="E271" s="11">
        <v>0.14329444204310854</v>
      </c>
    </row>
    <row r="272" spans="1:5" ht="24.75">
      <c r="A272" s="11" t="s">
        <v>363</v>
      </c>
      <c r="B272" s="11" t="s">
        <v>233</v>
      </c>
      <c r="C272" s="11" t="s">
        <v>295</v>
      </c>
      <c r="D272" s="11" t="s">
        <v>2037</v>
      </c>
      <c r="E272" s="11">
        <v>7.130694545982777E-2</v>
      </c>
    </row>
    <row r="273" spans="1:5" ht="24.75">
      <c r="A273" s="11" t="s">
        <v>363</v>
      </c>
      <c r="B273" s="11" t="s">
        <v>233</v>
      </c>
      <c r="C273" s="11" t="s">
        <v>295</v>
      </c>
      <c r="D273" s="11" t="s">
        <v>2038</v>
      </c>
      <c r="E273" s="11">
        <v>0.36299505881092303</v>
      </c>
    </row>
    <row r="274" spans="1:5" ht="24.75">
      <c r="A274" s="11" t="s">
        <v>363</v>
      </c>
      <c r="B274" s="11" t="s">
        <v>233</v>
      </c>
      <c r="C274" s="11" t="s">
        <v>295</v>
      </c>
      <c r="D274" s="11" t="s">
        <v>2039</v>
      </c>
      <c r="E274" s="11">
        <v>0.85294870029564063</v>
      </c>
    </row>
    <row r="275" spans="1:5" ht="24.75">
      <c r="A275" s="11" t="s">
        <v>363</v>
      </c>
      <c r="B275" s="11" t="s">
        <v>233</v>
      </c>
      <c r="C275" s="11" t="s">
        <v>295</v>
      </c>
      <c r="D275" s="11" t="s">
        <v>2040</v>
      </c>
      <c r="E275" s="11">
        <v>2.4435600000000002</v>
      </c>
    </row>
    <row r="276" spans="1:5" ht="24.75">
      <c r="A276" s="11" t="s">
        <v>363</v>
      </c>
      <c r="B276" s="11" t="s">
        <v>233</v>
      </c>
      <c r="C276" s="11" t="s">
        <v>295</v>
      </c>
      <c r="D276" s="11" t="s">
        <v>2041</v>
      </c>
      <c r="E276" s="11">
        <v>0.21568678083257981</v>
      </c>
    </row>
    <row r="277" spans="1:5" ht="24.75">
      <c r="A277" s="11" t="s">
        <v>363</v>
      </c>
      <c r="B277" s="11" t="s">
        <v>233</v>
      </c>
      <c r="C277" s="11" t="s">
        <v>295</v>
      </c>
      <c r="D277" s="11" t="s">
        <v>2042</v>
      </c>
      <c r="E277" s="11">
        <v>9.7884364209674488E-2</v>
      </c>
    </row>
    <row r="278" spans="1:5" ht="24.75">
      <c r="A278" s="11" t="s">
        <v>363</v>
      </c>
      <c r="B278" s="11" t="s">
        <v>233</v>
      </c>
      <c r="C278" s="11" t="s">
        <v>295</v>
      </c>
      <c r="D278" s="11" t="s">
        <v>2043</v>
      </c>
      <c r="E278" s="11">
        <v>0.14461934411789878</v>
      </c>
    </row>
    <row r="279" spans="1:5" ht="24.75">
      <c r="A279" s="11" t="s">
        <v>363</v>
      </c>
      <c r="B279" s="11" t="s">
        <v>233</v>
      </c>
      <c r="C279" s="11" t="s">
        <v>295</v>
      </c>
      <c r="D279" s="11" t="s">
        <v>2044</v>
      </c>
      <c r="E279" s="11">
        <v>0.51926377981772931</v>
      </c>
    </row>
    <row r="280" spans="1:5" ht="24.75">
      <c r="A280" s="11" t="s">
        <v>363</v>
      </c>
      <c r="B280" s="11" t="s">
        <v>233</v>
      </c>
      <c r="C280" s="11" t="s">
        <v>295</v>
      </c>
      <c r="D280" s="11" t="s">
        <v>2045</v>
      </c>
      <c r="E280" s="11">
        <v>1.0308187783107545</v>
      </c>
    </row>
    <row r="281" spans="1:5" ht="24.75">
      <c r="A281" s="11" t="s">
        <v>363</v>
      </c>
      <c r="B281" s="11" t="s">
        <v>233</v>
      </c>
      <c r="C281" s="11" t="s">
        <v>295</v>
      </c>
      <c r="D281" s="11" t="s">
        <v>2046</v>
      </c>
      <c r="E281" s="11">
        <v>0.12358148109008421</v>
      </c>
    </row>
    <row r="282" spans="1:5" ht="24.75">
      <c r="A282" s="11" t="s">
        <v>363</v>
      </c>
      <c r="B282" s="11" t="s">
        <v>233</v>
      </c>
      <c r="C282" s="11" t="s">
        <v>295</v>
      </c>
      <c r="D282" s="11" t="s">
        <v>2047</v>
      </c>
      <c r="E282" s="11">
        <v>0.24013354657652211</v>
      </c>
    </row>
    <row r="283" spans="1:5" ht="24.75">
      <c r="A283" s="11" t="s">
        <v>363</v>
      </c>
      <c r="B283" s="11" t="s">
        <v>233</v>
      </c>
      <c r="C283" s="11" t="s">
        <v>295</v>
      </c>
      <c r="D283" s="11" t="s">
        <v>2048</v>
      </c>
      <c r="E283" s="11">
        <v>0.14669940587473262</v>
      </c>
    </row>
    <row r="284" spans="1:5" ht="24.75">
      <c r="A284" s="11" t="s">
        <v>363</v>
      </c>
      <c r="B284" s="11" t="s">
        <v>233</v>
      </c>
      <c r="C284" s="11" t="s">
        <v>295</v>
      </c>
      <c r="D284" s="11" t="s">
        <v>2049</v>
      </c>
      <c r="E284" s="11">
        <v>0.18782949475308469</v>
      </c>
    </row>
    <row r="285" spans="1:5" ht="24.75">
      <c r="A285" s="11" t="s">
        <v>363</v>
      </c>
      <c r="B285" s="11" t="s">
        <v>233</v>
      </c>
      <c r="C285" s="11" t="s">
        <v>295</v>
      </c>
      <c r="D285" s="11" t="s">
        <v>2050</v>
      </c>
      <c r="E285" s="11">
        <v>0.14445837016175167</v>
      </c>
    </row>
    <row r="286" spans="1:5" ht="24.75">
      <c r="A286" s="11" t="s">
        <v>363</v>
      </c>
      <c r="B286" s="11" t="s">
        <v>233</v>
      </c>
      <c r="C286" s="11" t="s">
        <v>295</v>
      </c>
      <c r="D286" s="11" t="s">
        <v>2051</v>
      </c>
      <c r="E286" s="11">
        <v>0.50336377981773184</v>
      </c>
    </row>
    <row r="287" spans="1:5" ht="24.75">
      <c r="A287" s="11" t="s">
        <v>363</v>
      </c>
      <c r="B287" s="11" t="s">
        <v>233</v>
      </c>
      <c r="C287" s="11" t="s">
        <v>295</v>
      </c>
      <c r="D287" s="11" t="s">
        <v>2052</v>
      </c>
      <c r="E287" s="11">
        <v>0.44018506160000248</v>
      </c>
    </row>
    <row r="288" spans="1:5" ht="24.75">
      <c r="A288" s="11" t="s">
        <v>363</v>
      </c>
      <c r="B288" s="11" t="s">
        <v>233</v>
      </c>
      <c r="C288" s="11" t="s">
        <v>295</v>
      </c>
      <c r="D288" s="11" t="s">
        <v>2053</v>
      </c>
      <c r="E288" s="11">
        <v>0.4450746462891661</v>
      </c>
    </row>
    <row r="289" spans="1:5" ht="24.75">
      <c r="A289" s="11" t="s">
        <v>363</v>
      </c>
      <c r="B289" s="11" t="s">
        <v>233</v>
      </c>
      <c r="C289" s="11" t="s">
        <v>295</v>
      </c>
      <c r="D289" s="11" t="s">
        <v>2054</v>
      </c>
      <c r="E289" s="11">
        <v>0.85930828660472425</v>
      </c>
    </row>
    <row r="290" spans="1:5" ht="24.75">
      <c r="A290" s="11" t="s">
        <v>363</v>
      </c>
      <c r="B290" s="11" t="s">
        <v>233</v>
      </c>
      <c r="C290" s="11" t="s">
        <v>295</v>
      </c>
      <c r="D290" s="11" t="s">
        <v>2055</v>
      </c>
      <c r="E290" s="11">
        <v>0.13589997379638483</v>
      </c>
    </row>
    <row r="291" spans="1:5" ht="24.75">
      <c r="A291" s="11" t="s">
        <v>363</v>
      </c>
      <c r="B291" s="11" t="s">
        <v>233</v>
      </c>
      <c r="C291" s="11" t="s">
        <v>295</v>
      </c>
      <c r="D291" s="11" t="s">
        <v>2056</v>
      </c>
      <c r="E291" s="11">
        <v>0.11424645903654568</v>
      </c>
    </row>
    <row r="292" spans="1:5" ht="24.75">
      <c r="A292" s="11" t="s">
        <v>363</v>
      </c>
      <c r="B292" s="11" t="s">
        <v>233</v>
      </c>
      <c r="C292" s="11" t="s">
        <v>295</v>
      </c>
      <c r="D292" s="11" t="s">
        <v>2057</v>
      </c>
      <c r="E292" s="11">
        <v>7.9868671177531922E-2</v>
      </c>
    </row>
    <row r="293" spans="1:5" ht="24.75">
      <c r="A293" s="11" t="s">
        <v>363</v>
      </c>
      <c r="B293" s="11" t="s">
        <v>233</v>
      </c>
      <c r="C293" s="11" t="s">
        <v>295</v>
      </c>
      <c r="D293" s="11" t="s">
        <v>2058</v>
      </c>
      <c r="E293" s="11">
        <v>8.683449201903097E-2</v>
      </c>
    </row>
    <row r="294" spans="1:5" ht="24.75">
      <c r="A294" s="11" t="s">
        <v>363</v>
      </c>
      <c r="B294" s="11" t="s">
        <v>233</v>
      </c>
      <c r="C294" s="11" t="s">
        <v>295</v>
      </c>
      <c r="D294" s="11" t="s">
        <v>2059</v>
      </c>
      <c r="E294" s="11">
        <v>7.9800000000002314E-2</v>
      </c>
    </row>
    <row r="295" spans="1:5" ht="24.75">
      <c r="A295" s="11" t="s">
        <v>363</v>
      </c>
      <c r="B295" s="11" t="s">
        <v>233</v>
      </c>
      <c r="C295" s="11" t="s">
        <v>295</v>
      </c>
      <c r="D295" s="11" t="s">
        <v>2060</v>
      </c>
      <c r="E295" s="11">
        <v>1.1102817243740599</v>
      </c>
    </row>
    <row r="296" spans="1:5" ht="24.75">
      <c r="A296" s="11" t="s">
        <v>363</v>
      </c>
      <c r="B296" s="11" t="s">
        <v>233</v>
      </c>
      <c r="C296" s="11" t="s">
        <v>295</v>
      </c>
      <c r="D296" s="11" t="s">
        <v>2061</v>
      </c>
      <c r="E296" s="11">
        <v>0.31598986917899519</v>
      </c>
    </row>
    <row r="297" spans="1:5" ht="24.75">
      <c r="A297" s="11" t="s">
        <v>363</v>
      </c>
      <c r="B297" s="11" t="s">
        <v>233</v>
      </c>
      <c r="C297" s="11" t="s">
        <v>295</v>
      </c>
      <c r="D297" s="11" t="s">
        <v>2062</v>
      </c>
      <c r="E297" s="11">
        <v>0.37524959478185238</v>
      </c>
    </row>
    <row r="298" spans="1:5" ht="24.75">
      <c r="A298" s="11" t="s">
        <v>363</v>
      </c>
      <c r="B298" s="11" t="s">
        <v>233</v>
      </c>
      <c r="C298" s="11" t="s">
        <v>295</v>
      </c>
      <c r="D298" s="11" t="s">
        <v>2063</v>
      </c>
      <c r="E298" s="11">
        <v>0.37525010992088365</v>
      </c>
    </row>
    <row r="299" spans="1:5" ht="24.75">
      <c r="A299" s="11" t="s">
        <v>363</v>
      </c>
      <c r="B299" s="11" t="s">
        <v>233</v>
      </c>
      <c r="C299" s="11" t="s">
        <v>295</v>
      </c>
      <c r="D299" s="11" t="s">
        <v>2064</v>
      </c>
      <c r="E299" s="11">
        <v>0.35684339592679692</v>
      </c>
    </row>
    <row r="300" spans="1:5" ht="24.75">
      <c r="A300" s="11" t="s">
        <v>363</v>
      </c>
      <c r="B300" s="11" t="s">
        <v>233</v>
      </c>
      <c r="C300" s="11" t="s">
        <v>295</v>
      </c>
      <c r="D300" s="11" t="s">
        <v>2065</v>
      </c>
      <c r="E300" s="11">
        <v>8.479999999970611E-2</v>
      </c>
    </row>
    <row r="301" spans="1:5" ht="24.75">
      <c r="A301" s="11" t="s">
        <v>363</v>
      </c>
      <c r="B301" s="11" t="s">
        <v>233</v>
      </c>
      <c r="C301" s="11" t="s">
        <v>295</v>
      </c>
      <c r="D301" s="11" t="s">
        <v>2066</v>
      </c>
      <c r="E301" s="11">
        <v>8.4800000000007661E-2</v>
      </c>
    </row>
    <row r="302" spans="1:5" ht="24.75">
      <c r="A302" s="11" t="s">
        <v>363</v>
      </c>
      <c r="B302" s="11" t="s">
        <v>233</v>
      </c>
      <c r="C302" s="11" t="s">
        <v>295</v>
      </c>
      <c r="D302" s="11" t="s">
        <v>2067</v>
      </c>
      <c r="E302" s="11">
        <v>8.4800000000002013E-2</v>
      </c>
    </row>
    <row r="303" spans="1:5" ht="24.75">
      <c r="A303" s="11" t="s">
        <v>363</v>
      </c>
      <c r="B303" s="11" t="s">
        <v>233</v>
      </c>
      <c r="C303" s="11" t="s">
        <v>295</v>
      </c>
      <c r="D303" s="11" t="s">
        <v>2068</v>
      </c>
      <c r="E303" s="11">
        <v>8.480000000000916E-2</v>
      </c>
    </row>
    <row r="304" spans="1:5" ht="24.75">
      <c r="A304" s="11" t="s">
        <v>363</v>
      </c>
      <c r="B304" s="11" t="s">
        <v>233</v>
      </c>
      <c r="C304" s="11" t="s">
        <v>295</v>
      </c>
      <c r="D304" s="11" t="s">
        <v>2069</v>
      </c>
      <c r="E304" s="11">
        <v>8.479999999999141E-2</v>
      </c>
    </row>
    <row r="305" spans="1:5" ht="24.75">
      <c r="A305" s="11" t="s">
        <v>363</v>
      </c>
      <c r="B305" s="11" t="s">
        <v>233</v>
      </c>
      <c r="C305" s="11" t="s">
        <v>295</v>
      </c>
      <c r="D305" s="11" t="s">
        <v>2070</v>
      </c>
      <c r="E305" s="11">
        <v>0.36680490704658653</v>
      </c>
    </row>
    <row r="306" spans="1:5" ht="24.75">
      <c r="A306" s="11" t="s">
        <v>363</v>
      </c>
      <c r="B306" s="11" t="s">
        <v>233</v>
      </c>
      <c r="C306" s="11" t="s">
        <v>295</v>
      </c>
      <c r="D306" s="11" t="s">
        <v>2071</v>
      </c>
      <c r="E306" s="11">
        <v>8.4799999999998807E-2</v>
      </c>
    </row>
    <row r="307" spans="1:5" ht="24.75">
      <c r="A307" s="11" t="s">
        <v>363</v>
      </c>
      <c r="B307" s="11" t="s">
        <v>233</v>
      </c>
      <c r="C307" s="11" t="s">
        <v>295</v>
      </c>
      <c r="D307" s="11" t="s">
        <v>2072</v>
      </c>
      <c r="E307" s="11">
        <v>8.4799999999995559E-2</v>
      </c>
    </row>
    <row r="308" spans="1:5" ht="24.75">
      <c r="A308" s="11" t="s">
        <v>363</v>
      </c>
      <c r="B308" s="11" t="s">
        <v>233</v>
      </c>
      <c r="C308" s="11" t="s">
        <v>295</v>
      </c>
      <c r="D308" s="11" t="s">
        <v>2073</v>
      </c>
      <c r="E308" s="11">
        <v>0.42211941559907035</v>
      </c>
    </row>
    <row r="309" spans="1:5" ht="24.75">
      <c r="A309" s="11" t="s">
        <v>363</v>
      </c>
      <c r="B309" s="11" t="s">
        <v>233</v>
      </c>
      <c r="C309" s="11" t="s">
        <v>295</v>
      </c>
      <c r="D309" s="11" t="s">
        <v>2074</v>
      </c>
      <c r="E309" s="11">
        <v>0.42211941559906502</v>
      </c>
    </row>
    <row r="310" spans="1:5" ht="24.75">
      <c r="A310" s="11" t="s">
        <v>363</v>
      </c>
      <c r="B310" s="11" t="s">
        <v>233</v>
      </c>
      <c r="C310" s="11" t="s">
        <v>295</v>
      </c>
      <c r="D310" s="11" t="s">
        <v>2075</v>
      </c>
      <c r="E310" s="11">
        <v>0.68912071497755101</v>
      </c>
    </row>
    <row r="311" spans="1:5" ht="24.75">
      <c r="A311" s="11" t="s">
        <v>363</v>
      </c>
      <c r="B311" s="11" t="s">
        <v>233</v>
      </c>
      <c r="C311" s="11" t="s">
        <v>295</v>
      </c>
      <c r="D311" s="11" t="s">
        <v>2076</v>
      </c>
      <c r="E311" s="11">
        <v>7.1878074570020808E-2</v>
      </c>
    </row>
    <row r="312" spans="1:5" ht="24.75">
      <c r="A312" s="11" t="s">
        <v>363</v>
      </c>
      <c r="B312" s="11" t="s">
        <v>233</v>
      </c>
      <c r="C312" s="11" t="s">
        <v>295</v>
      </c>
      <c r="D312" s="11" t="s">
        <v>2077</v>
      </c>
      <c r="E312" s="11">
        <v>6.9921542690067409E-2</v>
      </c>
    </row>
    <row r="313" spans="1:5" ht="24.75">
      <c r="A313" s="11" t="s">
        <v>363</v>
      </c>
      <c r="B313" s="11" t="s">
        <v>233</v>
      </c>
      <c r="C313" s="11" t="s">
        <v>295</v>
      </c>
      <c r="D313" s="11" t="s">
        <v>2078</v>
      </c>
      <c r="E313" s="11">
        <v>8.4864358174993909E-2</v>
      </c>
    </row>
    <row r="314" spans="1:5" ht="24.75">
      <c r="A314" s="11" t="s">
        <v>363</v>
      </c>
      <c r="B314" s="11" t="s">
        <v>233</v>
      </c>
      <c r="C314" s="11" t="s">
        <v>295</v>
      </c>
      <c r="D314" s="11" t="s">
        <v>2079</v>
      </c>
      <c r="E314" s="11">
        <v>0.72402154622939563</v>
      </c>
    </row>
    <row r="315" spans="1:5" ht="24.75">
      <c r="A315" s="11" t="s">
        <v>363</v>
      </c>
      <c r="B315" s="11" t="s">
        <v>233</v>
      </c>
      <c r="C315" s="11" t="s">
        <v>295</v>
      </c>
      <c r="D315" s="11" t="s">
        <v>2080</v>
      </c>
      <c r="E315" s="11">
        <v>0.62418069377334362</v>
      </c>
    </row>
    <row r="316" spans="1:5" ht="24.75">
      <c r="A316" s="11" t="s">
        <v>363</v>
      </c>
      <c r="B316" s="11" t="s">
        <v>233</v>
      </c>
      <c r="C316" s="11" t="s">
        <v>295</v>
      </c>
      <c r="D316" s="11" t="s">
        <v>2081</v>
      </c>
      <c r="E316" s="11">
        <v>7.5753358648042515E-2</v>
      </c>
    </row>
    <row r="317" spans="1:5" ht="24.75">
      <c r="A317" s="11" t="s">
        <v>363</v>
      </c>
      <c r="B317" s="11" t="s">
        <v>233</v>
      </c>
      <c r="C317" s="11" t="s">
        <v>295</v>
      </c>
      <c r="D317" s="11" t="s">
        <v>2082</v>
      </c>
      <c r="E317" s="11">
        <v>0.17338835864802341</v>
      </c>
    </row>
    <row r="318" spans="1:5" ht="24.75">
      <c r="A318" s="11" t="s">
        <v>363</v>
      </c>
      <c r="B318" s="11" t="s">
        <v>233</v>
      </c>
      <c r="C318" s="11" t="s">
        <v>295</v>
      </c>
      <c r="D318" s="11" t="s">
        <v>2083</v>
      </c>
      <c r="E318" s="11">
        <v>0.88206000000000262</v>
      </c>
    </row>
    <row r="319" spans="1:5" ht="24.75">
      <c r="A319" s="11" t="s">
        <v>363</v>
      </c>
      <c r="B319" s="11" t="s">
        <v>233</v>
      </c>
      <c r="C319" s="11" t="s">
        <v>295</v>
      </c>
      <c r="D319" s="11" t="s">
        <v>2084</v>
      </c>
      <c r="E319" s="11">
        <v>0.14169500000001911</v>
      </c>
    </row>
    <row r="320" spans="1:5" ht="24.75">
      <c r="A320" s="11" t="s">
        <v>363</v>
      </c>
      <c r="B320" s="11" t="s">
        <v>233</v>
      </c>
      <c r="C320" s="11" t="s">
        <v>295</v>
      </c>
      <c r="D320" s="11" t="s">
        <v>2085</v>
      </c>
      <c r="E320" s="11">
        <v>0.24933184118720078</v>
      </c>
    </row>
    <row r="321" spans="1:5" ht="24.75">
      <c r="A321" s="11" t="s">
        <v>363</v>
      </c>
      <c r="B321" s="11" t="s">
        <v>233</v>
      </c>
      <c r="C321" s="11" t="s">
        <v>295</v>
      </c>
      <c r="D321" s="11" t="s">
        <v>2086</v>
      </c>
      <c r="E321" s="11">
        <v>3.6304477304861735</v>
      </c>
    </row>
    <row r="322" spans="1:5" ht="24.75">
      <c r="A322" s="11" t="s">
        <v>363</v>
      </c>
      <c r="B322" s="11" t="s">
        <v>233</v>
      </c>
      <c r="C322" s="11" t="s">
        <v>295</v>
      </c>
      <c r="D322" s="11" t="s">
        <v>2087</v>
      </c>
      <c r="E322" s="11">
        <v>8.3839168086755275E-2</v>
      </c>
    </row>
    <row r="323" spans="1:5" ht="24.75">
      <c r="A323" s="11" t="s">
        <v>363</v>
      </c>
      <c r="B323" s="11" t="s">
        <v>233</v>
      </c>
      <c r="C323" s="11" t="s">
        <v>295</v>
      </c>
      <c r="D323" s="11" t="s">
        <v>2088</v>
      </c>
      <c r="E323" s="11">
        <v>8.4778403011320697E-2</v>
      </c>
    </row>
    <row r="324" spans="1:5">
      <c r="A324" s="1" t="s">
        <v>207</v>
      </c>
      <c r="B324" s="1" t="s">
        <v>207</v>
      </c>
      <c r="C324" s="1">
        <f>SUBTOTAL(103,Elements132231[Elemento])</f>
        <v>317</v>
      </c>
      <c r="D324" s="1" t="s">
        <v>207</v>
      </c>
      <c r="E324" s="1">
        <f>SUBTOTAL(109,Elements132231[Totais:])</f>
        <v>188.56546905739728</v>
      </c>
    </row>
  </sheetData>
  <mergeCells count="3">
    <mergeCell ref="A1:E2"/>
    <mergeCell ref="A4:E4"/>
    <mergeCell ref="A5:E5"/>
  </mergeCells>
  <hyperlinks>
    <hyperlink ref="A1" location="'13.2.23'!A1" display="TUBO DE PVC RIGIDO SOLDAVEL,PARA AGUA FRIA, COM DIAMETRO DE 50MM.FORNECIMENTO" xr:uid="{00000000-0004-0000-4A00-000000000000}"/>
    <hyperlink ref="B1" location="'13.2.23'!A1" display="TUBO DE PVC RIGIDO SOLDAVEL,PARA AGUA FRIA, COM DIAMETRO DE 50MM.FORNECIMENTO" xr:uid="{00000000-0004-0000-4A00-000001000000}"/>
    <hyperlink ref="C1" location="'13.2.23'!A1" display="TUBO DE PVC RIGIDO SOLDAVEL,PARA AGUA FRIA, COM DIAMETRO DE 50MM.FORNECIMENTO" xr:uid="{00000000-0004-0000-4A00-000002000000}"/>
    <hyperlink ref="D1" location="'13.2.23'!A1" display="TUBO DE PVC RIGIDO SOLDAVEL,PARA AGUA FRIA, COM DIAMETRO DE 50MM.FORNECIMENTO" xr:uid="{00000000-0004-0000-4A00-000003000000}"/>
    <hyperlink ref="E1" location="'13.2.23'!A1" display="TUBO DE PVC RIGIDO SOLDAVEL,PARA AGUA FRIA, COM DIAMETRO DE 50MM.FORNECIMENTO" xr:uid="{00000000-0004-0000-4A00-000004000000}"/>
    <hyperlink ref="A2" location="'13.2.23'!A1" display="TUBO DE PVC RIGIDO SOLDAVEL,PARA AGUA FRIA, COM DIAMETRO DE 50MM.FORNECIMENTO" xr:uid="{00000000-0004-0000-4A00-000005000000}"/>
    <hyperlink ref="B2" location="'13.2.23'!A1" display="TUBO DE PVC RIGIDO SOLDAVEL,PARA AGUA FRIA, COM DIAMETRO DE 50MM.FORNECIMENTO" xr:uid="{00000000-0004-0000-4A00-000006000000}"/>
    <hyperlink ref="C2" location="'13.2.23'!A1" display="TUBO DE PVC RIGIDO SOLDAVEL,PARA AGUA FRIA, COM DIAMETRO DE 50MM.FORNECIMENTO" xr:uid="{00000000-0004-0000-4A00-000007000000}"/>
    <hyperlink ref="D2" location="'13.2.23'!A1" display="TUBO DE PVC RIGIDO SOLDAVEL,PARA AGUA FRIA, COM DIAMETRO DE 50MM.FORNECIMENTO" xr:uid="{00000000-0004-0000-4A00-000008000000}"/>
    <hyperlink ref="E2" location="'13.2.23'!A1" display="TUBO DE PVC RIGIDO SOLDAVEL,PARA AGUA FRIA, COM DIAMETRO DE 50MM.FORNECIMENTO" xr:uid="{00000000-0004-0000-4A00-000009000000}"/>
    <hyperlink ref="A4" location="'13.2.23'!A1" display="Tubulação" xr:uid="{00000000-0004-0000-4A00-00000A000000}"/>
    <hyperlink ref="B4" location="'13.2.23'!A1" display="Tubulação" xr:uid="{00000000-0004-0000-4A00-00000B000000}"/>
    <hyperlink ref="C4" location="'13.2.23'!A1" display="Tubulação" xr:uid="{00000000-0004-0000-4A00-00000C000000}"/>
    <hyperlink ref="D4" location="'13.2.23'!A1" display="Tubulação" xr:uid="{00000000-0004-0000-4A00-00000D000000}"/>
    <hyperlink ref="E4" location="'13.2.23'!A1" display="Tubulação" xr:uid="{00000000-0004-0000-4A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dimension ref="A1:E1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106</v>
      </c>
      <c r="B1" s="23" t="s">
        <v>106</v>
      </c>
      <c r="C1" s="23" t="s">
        <v>106</v>
      </c>
      <c r="D1" s="23" t="s">
        <v>106</v>
      </c>
      <c r="E1" s="23" t="s">
        <v>106</v>
      </c>
    </row>
    <row r="2" spans="1:5">
      <c r="A2" s="23" t="s">
        <v>106</v>
      </c>
      <c r="B2" s="23" t="s">
        <v>106</v>
      </c>
      <c r="C2" s="23" t="s">
        <v>106</v>
      </c>
      <c r="D2" s="23" t="s">
        <v>106</v>
      </c>
      <c r="E2" s="23" t="s">
        <v>106</v>
      </c>
    </row>
    <row r="4" spans="1:5">
      <c r="A4" s="18" t="s">
        <v>206</v>
      </c>
      <c r="B4" s="18" t="s">
        <v>206</v>
      </c>
      <c r="C4" s="18" t="s">
        <v>206</v>
      </c>
      <c r="D4" s="18" t="s">
        <v>206</v>
      </c>
      <c r="E4" s="18" t="s">
        <v>206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2089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2090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2091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2092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2093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2094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214</v>
      </c>
      <c r="D13" s="11" t="s">
        <v>2095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214</v>
      </c>
      <c r="D14" s="11" t="s">
        <v>2096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214</v>
      </c>
      <c r="D15" s="11" t="s">
        <v>2097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214</v>
      </c>
      <c r="D16" s="11" t="s">
        <v>2098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214</v>
      </c>
      <c r="D17" s="11" t="s">
        <v>2099</v>
      </c>
      <c r="E17" s="11">
        <v>1</v>
      </c>
    </row>
    <row r="18" spans="1:5">
      <c r="A18" s="1" t="s">
        <v>207</v>
      </c>
      <c r="B18" s="1" t="s">
        <v>207</v>
      </c>
      <c r="C18" s="1">
        <f>SUBTOTAL(103,Elements132241[Elemento])</f>
        <v>11</v>
      </c>
      <c r="D18" s="1" t="s">
        <v>207</v>
      </c>
      <c r="E18" s="1">
        <f>SUBTOTAL(109,Elements132241[Totais:])</f>
        <v>11</v>
      </c>
    </row>
  </sheetData>
  <mergeCells count="3">
    <mergeCell ref="A1:E2"/>
    <mergeCell ref="A4:E4"/>
    <mergeCell ref="A5:E5"/>
  </mergeCells>
  <hyperlinks>
    <hyperlink ref="A1" location="'13.2.24'!A1" display="ADAPTADOR SOLDAVEL COM FLANGES E ANEL DE VEDACAO PARA CAIXA D&amp;apos;AGUA,COM DIAMETRO DE 60MMX2”.FORNECIMENTO" xr:uid="{00000000-0004-0000-4B00-000000000000}"/>
    <hyperlink ref="B1" location="'13.2.24'!A1" display="ADAPTADOR SOLDAVEL COM FLANGES E ANEL DE VEDACAO PARA CAIXA D&amp;apos;AGUA,COM DIAMETRO DE 60MMX2”.FORNECIMENTO" xr:uid="{00000000-0004-0000-4B00-000001000000}"/>
    <hyperlink ref="C1" location="'13.2.24'!A1" display="ADAPTADOR SOLDAVEL COM FLANGES E ANEL DE VEDACAO PARA CAIXA D&amp;apos;AGUA,COM DIAMETRO DE 60MMX2”.FORNECIMENTO" xr:uid="{00000000-0004-0000-4B00-000002000000}"/>
    <hyperlink ref="D1" location="'13.2.24'!A1" display="ADAPTADOR SOLDAVEL COM FLANGES E ANEL DE VEDACAO PARA CAIXA D&amp;apos;AGUA,COM DIAMETRO DE 60MMX2”.FORNECIMENTO" xr:uid="{00000000-0004-0000-4B00-000003000000}"/>
    <hyperlink ref="E1" location="'13.2.24'!A1" display="ADAPTADOR SOLDAVEL COM FLANGES E ANEL DE VEDACAO PARA CAIXA D&amp;apos;AGUA,COM DIAMETRO DE 60MMX2”.FORNECIMENTO" xr:uid="{00000000-0004-0000-4B00-000004000000}"/>
    <hyperlink ref="A2" location="'13.2.24'!A1" display="ADAPTADOR SOLDAVEL COM FLANGES E ANEL DE VEDACAO PARA CAIXA D&amp;apos;AGUA,COM DIAMETRO DE 60MMX2”.FORNECIMENTO" xr:uid="{00000000-0004-0000-4B00-000005000000}"/>
    <hyperlink ref="B2" location="'13.2.24'!A1" display="ADAPTADOR SOLDAVEL COM FLANGES E ANEL DE VEDACAO PARA CAIXA D&amp;apos;AGUA,COM DIAMETRO DE 60MMX2”.FORNECIMENTO" xr:uid="{00000000-0004-0000-4B00-000006000000}"/>
    <hyperlink ref="C2" location="'13.2.24'!A1" display="ADAPTADOR SOLDAVEL COM FLANGES E ANEL DE VEDACAO PARA CAIXA D&amp;apos;AGUA,COM DIAMETRO DE 60MMX2”.FORNECIMENTO" xr:uid="{00000000-0004-0000-4B00-000007000000}"/>
    <hyperlink ref="D2" location="'13.2.24'!A1" display="ADAPTADOR SOLDAVEL COM FLANGES E ANEL DE VEDACAO PARA CAIXA D&amp;apos;AGUA,COM DIAMETRO DE 60MMX2”.FORNECIMENTO" xr:uid="{00000000-0004-0000-4B00-000008000000}"/>
    <hyperlink ref="E2" location="'13.2.24'!A1" display="ADAPTADOR SOLDAVEL COM FLANGES E ANEL DE VEDACAO PARA CAIXA D&amp;apos;AGUA,COM DIAMETRO DE 60MMX2”.FORNECIMENTO" xr:uid="{00000000-0004-0000-4B00-000009000000}"/>
    <hyperlink ref="A4" location="'13.2.24'!A1" display="Conexões de tubo (Afastamento)" xr:uid="{00000000-0004-0000-4B00-00000A000000}"/>
    <hyperlink ref="B4" location="'13.2.24'!A1" display="Conexões de tubo (Afastamento)" xr:uid="{00000000-0004-0000-4B00-00000B000000}"/>
    <hyperlink ref="C4" location="'13.2.24'!A1" display="Conexões de tubo (Afastamento)" xr:uid="{00000000-0004-0000-4B00-00000C000000}"/>
    <hyperlink ref="D4" location="'13.2.24'!A1" display="Conexões de tubo (Afastamento)" xr:uid="{00000000-0004-0000-4B00-00000D000000}"/>
    <hyperlink ref="E4" location="'13.2.24'!A1" display="Conexões de tubo (Afastamento)" xr:uid="{00000000-0004-0000-4B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dimension ref="A1:E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110</v>
      </c>
      <c r="B1" s="23" t="s">
        <v>110</v>
      </c>
      <c r="C1" s="23" t="s">
        <v>110</v>
      </c>
      <c r="D1" s="23" t="s">
        <v>110</v>
      </c>
      <c r="E1" s="23" t="s">
        <v>110</v>
      </c>
    </row>
    <row r="2" spans="1:5">
      <c r="A2" s="23" t="s">
        <v>110</v>
      </c>
      <c r="B2" s="23" t="s">
        <v>110</v>
      </c>
      <c r="C2" s="23" t="s">
        <v>110</v>
      </c>
      <c r="D2" s="23" t="s">
        <v>110</v>
      </c>
      <c r="E2" s="23" t="s">
        <v>110</v>
      </c>
    </row>
    <row r="4" spans="1:5">
      <c r="A4" s="18" t="s">
        <v>206</v>
      </c>
      <c r="B4" s="18" t="s">
        <v>206</v>
      </c>
      <c r="C4" s="18" t="s">
        <v>206</v>
      </c>
      <c r="D4" s="18" t="s">
        <v>206</v>
      </c>
      <c r="E4" s="18" t="s">
        <v>206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2100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2101</v>
      </c>
      <c r="E8" s="11">
        <v>1</v>
      </c>
    </row>
    <row r="9" spans="1:5">
      <c r="A9" s="1" t="s">
        <v>207</v>
      </c>
      <c r="B9" s="1" t="s">
        <v>207</v>
      </c>
      <c r="C9" s="1">
        <f>SUBTOTAL(103,Elements132251[Elemento])</f>
        <v>2</v>
      </c>
      <c r="D9" s="1" t="s">
        <v>207</v>
      </c>
      <c r="E9" s="1">
        <f>SUBTOTAL(109,Elements132251[Totais:])</f>
        <v>2</v>
      </c>
    </row>
  </sheetData>
  <mergeCells count="3">
    <mergeCell ref="A1:E2"/>
    <mergeCell ref="A4:E4"/>
    <mergeCell ref="A5:E5"/>
  </mergeCells>
  <hyperlinks>
    <hyperlink ref="A1" location="'13.2.25'!A1" display="CURVA DE TRANSPOSIÇÃO, PVC, SOLDÁVEL, DN 25MM, INSTALADO EM RAMAL DE DISTRIBUIÇÃO DE ÁGUA   FORNECIMENTO E INSTALAÇÃO. AF_06/2022" xr:uid="{00000000-0004-0000-4C00-000000000000}"/>
    <hyperlink ref="B1" location="'13.2.25'!A1" display="CURVA DE TRANSPOSIÇÃO, PVC, SOLDÁVEL, DN 25MM, INSTALADO EM RAMAL DE DISTRIBUIÇÃO DE ÁGUA   FORNECIMENTO E INSTALAÇÃO. AF_06/2022" xr:uid="{00000000-0004-0000-4C00-000001000000}"/>
    <hyperlink ref="C1" location="'13.2.25'!A1" display="CURVA DE TRANSPOSIÇÃO, PVC, SOLDÁVEL, DN 25MM, INSTALADO EM RAMAL DE DISTRIBUIÇÃO DE ÁGUA   FORNECIMENTO E INSTALAÇÃO. AF_06/2022" xr:uid="{00000000-0004-0000-4C00-000002000000}"/>
    <hyperlink ref="D1" location="'13.2.25'!A1" display="CURVA DE TRANSPOSIÇÃO, PVC, SOLDÁVEL, DN 25MM, INSTALADO EM RAMAL DE DISTRIBUIÇÃO DE ÁGUA   FORNECIMENTO E INSTALAÇÃO. AF_06/2022" xr:uid="{00000000-0004-0000-4C00-000003000000}"/>
    <hyperlink ref="E1" location="'13.2.25'!A1" display="CURVA DE TRANSPOSIÇÃO, PVC, SOLDÁVEL, DN 25MM, INSTALADO EM RAMAL DE DISTRIBUIÇÃO DE ÁGUA   FORNECIMENTO E INSTALAÇÃO. AF_06/2022" xr:uid="{00000000-0004-0000-4C00-000004000000}"/>
    <hyperlink ref="A2" location="'13.2.25'!A1" display="CURVA DE TRANSPOSIÇÃO, PVC, SOLDÁVEL, DN 25MM, INSTALADO EM RAMAL DE DISTRIBUIÇÃO DE ÁGUA   FORNECIMENTO E INSTALAÇÃO. AF_06/2022" xr:uid="{00000000-0004-0000-4C00-000005000000}"/>
    <hyperlink ref="B2" location="'13.2.25'!A1" display="CURVA DE TRANSPOSIÇÃO, PVC, SOLDÁVEL, DN 25MM, INSTALADO EM RAMAL DE DISTRIBUIÇÃO DE ÁGUA   FORNECIMENTO E INSTALAÇÃO. AF_06/2022" xr:uid="{00000000-0004-0000-4C00-000006000000}"/>
    <hyperlink ref="C2" location="'13.2.25'!A1" display="CURVA DE TRANSPOSIÇÃO, PVC, SOLDÁVEL, DN 25MM, INSTALADO EM RAMAL DE DISTRIBUIÇÃO DE ÁGUA   FORNECIMENTO E INSTALAÇÃO. AF_06/2022" xr:uid="{00000000-0004-0000-4C00-000007000000}"/>
    <hyperlink ref="D2" location="'13.2.25'!A1" display="CURVA DE TRANSPOSIÇÃO, PVC, SOLDÁVEL, DN 25MM, INSTALADO EM RAMAL DE DISTRIBUIÇÃO DE ÁGUA   FORNECIMENTO E INSTALAÇÃO. AF_06/2022" xr:uid="{00000000-0004-0000-4C00-000008000000}"/>
    <hyperlink ref="E2" location="'13.2.25'!A1" display="CURVA DE TRANSPOSIÇÃO, PVC, SOLDÁVEL, DN 25MM, INSTALADO EM RAMAL DE DISTRIBUIÇÃO DE ÁGUA   FORNECIMENTO E INSTALAÇÃO. AF_06/2022" xr:uid="{00000000-0004-0000-4C00-000009000000}"/>
    <hyperlink ref="A4" location="'13.2.25'!A1" display="Conexões de tubo (Afastamento)" xr:uid="{00000000-0004-0000-4C00-00000A000000}"/>
    <hyperlink ref="B4" location="'13.2.25'!A1" display="Conexões de tubo (Afastamento)" xr:uid="{00000000-0004-0000-4C00-00000B000000}"/>
    <hyperlink ref="C4" location="'13.2.25'!A1" display="Conexões de tubo (Afastamento)" xr:uid="{00000000-0004-0000-4C00-00000C000000}"/>
    <hyperlink ref="D4" location="'13.2.25'!A1" display="Conexões de tubo (Afastamento)" xr:uid="{00000000-0004-0000-4C00-00000D000000}"/>
    <hyperlink ref="E4" location="'13.2.25'!A1" display="Conexões de tubo (Afastamento)" xr:uid="{00000000-0004-0000-4C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D00-000000000000}">
  <dimension ref="A1:E24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114</v>
      </c>
      <c r="B1" s="23" t="s">
        <v>114</v>
      </c>
      <c r="C1" s="23" t="s">
        <v>114</v>
      </c>
      <c r="D1" s="23" t="s">
        <v>114</v>
      </c>
      <c r="E1" s="23" t="s">
        <v>114</v>
      </c>
    </row>
    <row r="2" spans="1:5">
      <c r="A2" s="23" t="s">
        <v>114</v>
      </c>
      <c r="B2" s="23" t="s">
        <v>114</v>
      </c>
      <c r="C2" s="23" t="s">
        <v>114</v>
      </c>
      <c r="D2" s="23" t="s">
        <v>114</v>
      </c>
      <c r="E2" s="23" t="s">
        <v>114</v>
      </c>
    </row>
    <row r="4" spans="1:5">
      <c r="A4" s="18" t="s">
        <v>206</v>
      </c>
      <c r="B4" s="18" t="s">
        <v>206</v>
      </c>
      <c r="C4" s="18" t="s">
        <v>206</v>
      </c>
      <c r="D4" s="18" t="s">
        <v>206</v>
      </c>
      <c r="E4" s="18" t="s">
        <v>206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2102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2103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2104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2105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2106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2107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214</v>
      </c>
      <c r="D13" s="11" t="s">
        <v>2108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214</v>
      </c>
      <c r="D14" s="11" t="s">
        <v>2109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214</v>
      </c>
      <c r="D15" s="11" t="s">
        <v>2110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214</v>
      </c>
      <c r="D16" s="11" t="s">
        <v>2111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214</v>
      </c>
      <c r="D17" s="11" t="s">
        <v>2112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214</v>
      </c>
      <c r="D18" s="11" t="s">
        <v>2113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214</v>
      </c>
      <c r="D19" s="11" t="s">
        <v>2114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214</v>
      </c>
      <c r="D20" s="11" t="s">
        <v>2115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214</v>
      </c>
      <c r="D21" s="11" t="s">
        <v>2116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214</v>
      </c>
      <c r="D22" s="11" t="s">
        <v>2117</v>
      </c>
      <c r="E22" s="11">
        <v>1</v>
      </c>
    </row>
    <row r="23" spans="1:5" ht="24.75">
      <c r="A23" s="11" t="s">
        <v>363</v>
      </c>
      <c r="B23" s="11" t="s">
        <v>233</v>
      </c>
      <c r="C23" s="11" t="s">
        <v>214</v>
      </c>
      <c r="D23" s="11" t="s">
        <v>2118</v>
      </c>
      <c r="E23" s="11">
        <v>1</v>
      </c>
    </row>
    <row r="24" spans="1:5" ht="24.75">
      <c r="A24" s="11" t="s">
        <v>363</v>
      </c>
      <c r="B24" s="11" t="s">
        <v>233</v>
      </c>
      <c r="C24" s="11" t="s">
        <v>214</v>
      </c>
      <c r="D24" s="11" t="s">
        <v>2119</v>
      </c>
      <c r="E24" s="11">
        <v>1</v>
      </c>
    </row>
    <row r="25" spans="1:5" ht="24.75">
      <c r="A25" s="11" t="s">
        <v>363</v>
      </c>
      <c r="B25" s="11" t="s">
        <v>233</v>
      </c>
      <c r="C25" s="11" t="s">
        <v>214</v>
      </c>
      <c r="D25" s="11" t="s">
        <v>2120</v>
      </c>
      <c r="E25" s="11">
        <v>1</v>
      </c>
    </row>
    <row r="26" spans="1:5" ht="24.75">
      <c r="A26" s="11" t="s">
        <v>363</v>
      </c>
      <c r="B26" s="11" t="s">
        <v>233</v>
      </c>
      <c r="C26" s="11" t="s">
        <v>214</v>
      </c>
      <c r="D26" s="11" t="s">
        <v>2121</v>
      </c>
      <c r="E26" s="11">
        <v>1</v>
      </c>
    </row>
    <row r="27" spans="1:5" ht="24.75">
      <c r="A27" s="11" t="s">
        <v>363</v>
      </c>
      <c r="B27" s="11" t="s">
        <v>233</v>
      </c>
      <c r="C27" s="11" t="s">
        <v>214</v>
      </c>
      <c r="D27" s="11" t="s">
        <v>2122</v>
      </c>
      <c r="E27" s="11">
        <v>1</v>
      </c>
    </row>
    <row r="28" spans="1:5" ht="24.75">
      <c r="A28" s="11" t="s">
        <v>363</v>
      </c>
      <c r="B28" s="11" t="s">
        <v>233</v>
      </c>
      <c r="C28" s="11" t="s">
        <v>214</v>
      </c>
      <c r="D28" s="11" t="s">
        <v>2123</v>
      </c>
      <c r="E28" s="11">
        <v>1</v>
      </c>
    </row>
    <row r="29" spans="1:5" ht="24.75">
      <c r="A29" s="11" t="s">
        <v>363</v>
      </c>
      <c r="B29" s="11" t="s">
        <v>233</v>
      </c>
      <c r="C29" s="11" t="s">
        <v>214</v>
      </c>
      <c r="D29" s="11" t="s">
        <v>2124</v>
      </c>
      <c r="E29" s="11">
        <v>1</v>
      </c>
    </row>
    <row r="30" spans="1:5" ht="24.75">
      <c r="A30" s="11" t="s">
        <v>363</v>
      </c>
      <c r="B30" s="11" t="s">
        <v>233</v>
      </c>
      <c r="C30" s="11" t="s">
        <v>214</v>
      </c>
      <c r="D30" s="11" t="s">
        <v>2125</v>
      </c>
      <c r="E30" s="11">
        <v>1</v>
      </c>
    </row>
    <row r="31" spans="1:5" ht="24.75">
      <c r="A31" s="11" t="s">
        <v>363</v>
      </c>
      <c r="B31" s="11" t="s">
        <v>233</v>
      </c>
      <c r="C31" s="11" t="s">
        <v>214</v>
      </c>
      <c r="D31" s="11" t="s">
        <v>2126</v>
      </c>
      <c r="E31" s="11">
        <v>1</v>
      </c>
    </row>
    <row r="32" spans="1:5" ht="24.75">
      <c r="A32" s="11" t="s">
        <v>363</v>
      </c>
      <c r="B32" s="11" t="s">
        <v>233</v>
      </c>
      <c r="C32" s="11" t="s">
        <v>214</v>
      </c>
      <c r="D32" s="11" t="s">
        <v>2127</v>
      </c>
      <c r="E32" s="11">
        <v>1</v>
      </c>
    </row>
    <row r="33" spans="1:5" ht="24.75">
      <c r="A33" s="11" t="s">
        <v>363</v>
      </c>
      <c r="B33" s="11" t="s">
        <v>233</v>
      </c>
      <c r="C33" s="11" t="s">
        <v>214</v>
      </c>
      <c r="D33" s="11" t="s">
        <v>2128</v>
      </c>
      <c r="E33" s="11">
        <v>1</v>
      </c>
    </row>
    <row r="34" spans="1:5" ht="24.75">
      <c r="A34" s="11" t="s">
        <v>363</v>
      </c>
      <c r="B34" s="11" t="s">
        <v>233</v>
      </c>
      <c r="C34" s="11" t="s">
        <v>214</v>
      </c>
      <c r="D34" s="11" t="s">
        <v>2129</v>
      </c>
      <c r="E34" s="11">
        <v>1</v>
      </c>
    </row>
    <row r="35" spans="1:5" ht="24.75">
      <c r="A35" s="11" t="s">
        <v>363</v>
      </c>
      <c r="B35" s="11" t="s">
        <v>233</v>
      </c>
      <c r="C35" s="11" t="s">
        <v>214</v>
      </c>
      <c r="D35" s="11" t="s">
        <v>2130</v>
      </c>
      <c r="E35" s="11">
        <v>1</v>
      </c>
    </row>
    <row r="36" spans="1:5" ht="24.75">
      <c r="A36" s="11" t="s">
        <v>363</v>
      </c>
      <c r="B36" s="11" t="s">
        <v>233</v>
      </c>
      <c r="C36" s="11" t="s">
        <v>214</v>
      </c>
      <c r="D36" s="11" t="s">
        <v>2131</v>
      </c>
      <c r="E36" s="11">
        <v>1</v>
      </c>
    </row>
    <row r="37" spans="1:5" ht="24.75">
      <c r="A37" s="11" t="s">
        <v>363</v>
      </c>
      <c r="B37" s="11" t="s">
        <v>233</v>
      </c>
      <c r="C37" s="11" t="s">
        <v>214</v>
      </c>
      <c r="D37" s="11" t="s">
        <v>2132</v>
      </c>
      <c r="E37" s="11">
        <v>1</v>
      </c>
    </row>
    <row r="38" spans="1:5" ht="24.75">
      <c r="A38" s="11" t="s">
        <v>363</v>
      </c>
      <c r="B38" s="11" t="s">
        <v>233</v>
      </c>
      <c r="C38" s="11" t="s">
        <v>214</v>
      </c>
      <c r="D38" s="11" t="s">
        <v>2133</v>
      </c>
      <c r="E38" s="11">
        <v>1</v>
      </c>
    </row>
    <row r="39" spans="1:5" ht="24.75">
      <c r="A39" s="11" t="s">
        <v>363</v>
      </c>
      <c r="B39" s="11" t="s">
        <v>233</v>
      </c>
      <c r="C39" s="11" t="s">
        <v>214</v>
      </c>
      <c r="D39" s="11" t="s">
        <v>2134</v>
      </c>
      <c r="E39" s="11">
        <v>1</v>
      </c>
    </row>
    <row r="40" spans="1:5" ht="24.75">
      <c r="A40" s="11" t="s">
        <v>363</v>
      </c>
      <c r="B40" s="11" t="s">
        <v>233</v>
      </c>
      <c r="C40" s="11" t="s">
        <v>214</v>
      </c>
      <c r="D40" s="11" t="s">
        <v>2135</v>
      </c>
      <c r="E40" s="11">
        <v>1</v>
      </c>
    </row>
    <row r="41" spans="1:5" ht="24.75">
      <c r="A41" s="11" t="s">
        <v>363</v>
      </c>
      <c r="B41" s="11" t="s">
        <v>233</v>
      </c>
      <c r="C41" s="11" t="s">
        <v>214</v>
      </c>
      <c r="D41" s="11" t="s">
        <v>2136</v>
      </c>
      <c r="E41" s="11">
        <v>1</v>
      </c>
    </row>
    <row r="42" spans="1:5" ht="24.75">
      <c r="A42" s="11" t="s">
        <v>363</v>
      </c>
      <c r="B42" s="11" t="s">
        <v>233</v>
      </c>
      <c r="C42" s="11" t="s">
        <v>214</v>
      </c>
      <c r="D42" s="11" t="s">
        <v>2137</v>
      </c>
      <c r="E42" s="11">
        <v>1</v>
      </c>
    </row>
    <row r="43" spans="1:5" ht="24.75">
      <c r="A43" s="11" t="s">
        <v>363</v>
      </c>
      <c r="B43" s="11" t="s">
        <v>233</v>
      </c>
      <c r="C43" s="11" t="s">
        <v>214</v>
      </c>
      <c r="D43" s="11" t="s">
        <v>2138</v>
      </c>
      <c r="E43" s="11">
        <v>1</v>
      </c>
    </row>
    <row r="44" spans="1:5" ht="24.75">
      <c r="A44" s="11" t="s">
        <v>363</v>
      </c>
      <c r="B44" s="11" t="s">
        <v>233</v>
      </c>
      <c r="C44" s="11" t="s">
        <v>214</v>
      </c>
      <c r="D44" s="11" t="s">
        <v>2139</v>
      </c>
      <c r="E44" s="11">
        <v>1</v>
      </c>
    </row>
    <row r="45" spans="1:5" ht="24.75">
      <c r="A45" s="11" t="s">
        <v>363</v>
      </c>
      <c r="B45" s="11" t="s">
        <v>233</v>
      </c>
      <c r="C45" s="11" t="s">
        <v>214</v>
      </c>
      <c r="D45" s="11" t="s">
        <v>2140</v>
      </c>
      <c r="E45" s="11">
        <v>1</v>
      </c>
    </row>
    <row r="46" spans="1:5" ht="24.75">
      <c r="A46" s="11" t="s">
        <v>363</v>
      </c>
      <c r="B46" s="11" t="s">
        <v>233</v>
      </c>
      <c r="C46" s="11" t="s">
        <v>214</v>
      </c>
      <c r="D46" s="11" t="s">
        <v>2141</v>
      </c>
      <c r="E46" s="11">
        <v>1</v>
      </c>
    </row>
    <row r="47" spans="1:5" ht="24.75">
      <c r="A47" s="11" t="s">
        <v>363</v>
      </c>
      <c r="B47" s="11" t="s">
        <v>233</v>
      </c>
      <c r="C47" s="11" t="s">
        <v>214</v>
      </c>
      <c r="D47" s="11" t="s">
        <v>2142</v>
      </c>
      <c r="E47" s="11">
        <v>1</v>
      </c>
    </row>
    <row r="48" spans="1:5" ht="24.75">
      <c r="A48" s="11" t="s">
        <v>363</v>
      </c>
      <c r="B48" s="11" t="s">
        <v>233</v>
      </c>
      <c r="C48" s="11" t="s">
        <v>214</v>
      </c>
      <c r="D48" s="11" t="s">
        <v>2143</v>
      </c>
      <c r="E48" s="11">
        <v>1</v>
      </c>
    </row>
    <row r="49" spans="1:5" ht="24.75">
      <c r="A49" s="11" t="s">
        <v>363</v>
      </c>
      <c r="B49" s="11" t="s">
        <v>233</v>
      </c>
      <c r="C49" s="11" t="s">
        <v>214</v>
      </c>
      <c r="D49" s="11" t="s">
        <v>2144</v>
      </c>
      <c r="E49" s="11">
        <v>1</v>
      </c>
    </row>
    <row r="50" spans="1:5" ht="24.75">
      <c r="A50" s="11" t="s">
        <v>363</v>
      </c>
      <c r="B50" s="11" t="s">
        <v>233</v>
      </c>
      <c r="C50" s="11" t="s">
        <v>214</v>
      </c>
      <c r="D50" s="11" t="s">
        <v>2145</v>
      </c>
      <c r="E50" s="11">
        <v>1</v>
      </c>
    </row>
    <row r="51" spans="1:5" ht="24.75">
      <c r="A51" s="11" t="s">
        <v>363</v>
      </c>
      <c r="B51" s="11" t="s">
        <v>233</v>
      </c>
      <c r="C51" s="11" t="s">
        <v>214</v>
      </c>
      <c r="D51" s="11" t="s">
        <v>2146</v>
      </c>
      <c r="E51" s="11">
        <v>1</v>
      </c>
    </row>
    <row r="52" spans="1:5" ht="24.75">
      <c r="A52" s="11" t="s">
        <v>363</v>
      </c>
      <c r="B52" s="11" t="s">
        <v>233</v>
      </c>
      <c r="C52" s="11" t="s">
        <v>214</v>
      </c>
      <c r="D52" s="11" t="s">
        <v>2147</v>
      </c>
      <c r="E52" s="11">
        <v>1</v>
      </c>
    </row>
    <row r="53" spans="1:5" ht="24.75">
      <c r="A53" s="11" t="s">
        <v>363</v>
      </c>
      <c r="B53" s="11" t="s">
        <v>233</v>
      </c>
      <c r="C53" s="11" t="s">
        <v>214</v>
      </c>
      <c r="D53" s="11" t="s">
        <v>2148</v>
      </c>
      <c r="E53" s="11">
        <v>1</v>
      </c>
    </row>
    <row r="54" spans="1:5" ht="24.75">
      <c r="A54" s="11" t="s">
        <v>363</v>
      </c>
      <c r="B54" s="11" t="s">
        <v>233</v>
      </c>
      <c r="C54" s="11" t="s">
        <v>214</v>
      </c>
      <c r="D54" s="11" t="s">
        <v>2149</v>
      </c>
      <c r="E54" s="11">
        <v>1</v>
      </c>
    </row>
    <row r="55" spans="1:5" ht="24.75">
      <c r="A55" s="11" t="s">
        <v>363</v>
      </c>
      <c r="B55" s="11" t="s">
        <v>233</v>
      </c>
      <c r="C55" s="11" t="s">
        <v>214</v>
      </c>
      <c r="D55" s="11" t="s">
        <v>2150</v>
      </c>
      <c r="E55" s="11">
        <v>1</v>
      </c>
    </row>
    <row r="56" spans="1:5" ht="24.75">
      <c r="A56" s="11" t="s">
        <v>363</v>
      </c>
      <c r="B56" s="11" t="s">
        <v>233</v>
      </c>
      <c r="C56" s="11" t="s">
        <v>214</v>
      </c>
      <c r="D56" s="11" t="s">
        <v>2151</v>
      </c>
      <c r="E56" s="11">
        <v>1</v>
      </c>
    </row>
    <row r="57" spans="1:5" ht="24.75">
      <c r="A57" s="11" t="s">
        <v>363</v>
      </c>
      <c r="B57" s="11" t="s">
        <v>233</v>
      </c>
      <c r="C57" s="11" t="s">
        <v>214</v>
      </c>
      <c r="D57" s="11" t="s">
        <v>2152</v>
      </c>
      <c r="E57" s="11">
        <v>1</v>
      </c>
    </row>
    <row r="58" spans="1:5" ht="24.75">
      <c r="A58" s="11" t="s">
        <v>363</v>
      </c>
      <c r="B58" s="11" t="s">
        <v>233</v>
      </c>
      <c r="C58" s="11" t="s">
        <v>214</v>
      </c>
      <c r="D58" s="11" t="s">
        <v>2153</v>
      </c>
      <c r="E58" s="11">
        <v>1</v>
      </c>
    </row>
    <row r="59" spans="1:5" ht="24.75">
      <c r="A59" s="11" t="s">
        <v>363</v>
      </c>
      <c r="B59" s="11" t="s">
        <v>233</v>
      </c>
      <c r="C59" s="11" t="s">
        <v>214</v>
      </c>
      <c r="D59" s="11" t="s">
        <v>2154</v>
      </c>
      <c r="E59" s="11">
        <v>1</v>
      </c>
    </row>
    <row r="60" spans="1:5" ht="24.75">
      <c r="A60" s="11" t="s">
        <v>363</v>
      </c>
      <c r="B60" s="11" t="s">
        <v>233</v>
      </c>
      <c r="C60" s="11" t="s">
        <v>214</v>
      </c>
      <c r="D60" s="11" t="s">
        <v>2155</v>
      </c>
      <c r="E60" s="11">
        <v>1</v>
      </c>
    </row>
    <row r="61" spans="1:5" ht="24.75">
      <c r="A61" s="11" t="s">
        <v>363</v>
      </c>
      <c r="B61" s="11" t="s">
        <v>233</v>
      </c>
      <c r="C61" s="11" t="s">
        <v>214</v>
      </c>
      <c r="D61" s="11" t="s">
        <v>2156</v>
      </c>
      <c r="E61" s="11">
        <v>1</v>
      </c>
    </row>
    <row r="62" spans="1:5" ht="24.75">
      <c r="A62" s="11" t="s">
        <v>363</v>
      </c>
      <c r="B62" s="11" t="s">
        <v>233</v>
      </c>
      <c r="C62" s="11" t="s">
        <v>214</v>
      </c>
      <c r="D62" s="11" t="s">
        <v>2157</v>
      </c>
      <c r="E62" s="11">
        <v>1</v>
      </c>
    </row>
    <row r="63" spans="1:5" ht="24.75">
      <c r="A63" s="11" t="s">
        <v>363</v>
      </c>
      <c r="B63" s="11" t="s">
        <v>233</v>
      </c>
      <c r="C63" s="11" t="s">
        <v>214</v>
      </c>
      <c r="D63" s="11" t="s">
        <v>2158</v>
      </c>
      <c r="E63" s="11">
        <v>1</v>
      </c>
    </row>
    <row r="64" spans="1:5" ht="24.75">
      <c r="A64" s="11" t="s">
        <v>363</v>
      </c>
      <c r="B64" s="11" t="s">
        <v>233</v>
      </c>
      <c r="C64" s="11" t="s">
        <v>214</v>
      </c>
      <c r="D64" s="11" t="s">
        <v>2159</v>
      </c>
      <c r="E64" s="11">
        <v>1</v>
      </c>
    </row>
    <row r="65" spans="1:5" ht="24.75">
      <c r="A65" s="11" t="s">
        <v>363</v>
      </c>
      <c r="B65" s="11" t="s">
        <v>233</v>
      </c>
      <c r="C65" s="11" t="s">
        <v>214</v>
      </c>
      <c r="D65" s="11" t="s">
        <v>2160</v>
      </c>
      <c r="E65" s="11">
        <v>1</v>
      </c>
    </row>
    <row r="66" spans="1:5" ht="24.75">
      <c r="A66" s="11" t="s">
        <v>363</v>
      </c>
      <c r="B66" s="11" t="s">
        <v>233</v>
      </c>
      <c r="C66" s="11" t="s">
        <v>214</v>
      </c>
      <c r="D66" s="11" t="s">
        <v>2161</v>
      </c>
      <c r="E66" s="11">
        <v>1</v>
      </c>
    </row>
    <row r="67" spans="1:5" ht="24.75">
      <c r="A67" s="11" t="s">
        <v>363</v>
      </c>
      <c r="B67" s="11" t="s">
        <v>233</v>
      </c>
      <c r="C67" s="11" t="s">
        <v>214</v>
      </c>
      <c r="D67" s="11" t="s">
        <v>2162</v>
      </c>
      <c r="E67" s="11">
        <v>1</v>
      </c>
    </row>
    <row r="68" spans="1:5" ht="24.75">
      <c r="A68" s="11" t="s">
        <v>363</v>
      </c>
      <c r="B68" s="11" t="s">
        <v>233</v>
      </c>
      <c r="C68" s="11" t="s">
        <v>214</v>
      </c>
      <c r="D68" s="11" t="s">
        <v>2163</v>
      </c>
      <c r="E68" s="11">
        <v>1</v>
      </c>
    </row>
    <row r="69" spans="1:5" ht="24.75">
      <c r="A69" s="11" t="s">
        <v>363</v>
      </c>
      <c r="B69" s="11" t="s">
        <v>233</v>
      </c>
      <c r="C69" s="11" t="s">
        <v>214</v>
      </c>
      <c r="D69" s="11" t="s">
        <v>2164</v>
      </c>
      <c r="E69" s="11">
        <v>1</v>
      </c>
    </row>
    <row r="70" spans="1:5" ht="24.75">
      <c r="A70" s="11" t="s">
        <v>363</v>
      </c>
      <c r="B70" s="11" t="s">
        <v>233</v>
      </c>
      <c r="C70" s="11" t="s">
        <v>214</v>
      </c>
      <c r="D70" s="11" t="s">
        <v>2165</v>
      </c>
      <c r="E70" s="11">
        <v>1</v>
      </c>
    </row>
    <row r="71" spans="1:5" ht="24.75">
      <c r="A71" s="11" t="s">
        <v>363</v>
      </c>
      <c r="B71" s="11" t="s">
        <v>233</v>
      </c>
      <c r="C71" s="11" t="s">
        <v>214</v>
      </c>
      <c r="D71" s="11" t="s">
        <v>2166</v>
      </c>
      <c r="E71" s="11">
        <v>1</v>
      </c>
    </row>
    <row r="72" spans="1:5" ht="24.75">
      <c r="A72" s="11" t="s">
        <v>363</v>
      </c>
      <c r="B72" s="11" t="s">
        <v>233</v>
      </c>
      <c r="C72" s="11" t="s">
        <v>214</v>
      </c>
      <c r="D72" s="11" t="s">
        <v>2167</v>
      </c>
      <c r="E72" s="11">
        <v>1</v>
      </c>
    </row>
    <row r="73" spans="1:5" ht="24.75">
      <c r="A73" s="11" t="s">
        <v>363</v>
      </c>
      <c r="B73" s="11" t="s">
        <v>233</v>
      </c>
      <c r="C73" s="11" t="s">
        <v>214</v>
      </c>
      <c r="D73" s="11" t="s">
        <v>2168</v>
      </c>
      <c r="E73" s="11">
        <v>1</v>
      </c>
    </row>
    <row r="74" spans="1:5" ht="24.75">
      <c r="A74" s="11" t="s">
        <v>363</v>
      </c>
      <c r="B74" s="11" t="s">
        <v>233</v>
      </c>
      <c r="C74" s="11" t="s">
        <v>214</v>
      </c>
      <c r="D74" s="11" t="s">
        <v>2169</v>
      </c>
      <c r="E74" s="11">
        <v>1</v>
      </c>
    </row>
    <row r="75" spans="1:5" ht="24.75">
      <c r="A75" s="11" t="s">
        <v>363</v>
      </c>
      <c r="B75" s="11" t="s">
        <v>233</v>
      </c>
      <c r="C75" s="11" t="s">
        <v>214</v>
      </c>
      <c r="D75" s="11" t="s">
        <v>2170</v>
      </c>
      <c r="E75" s="11">
        <v>1</v>
      </c>
    </row>
    <row r="76" spans="1:5" ht="24.75">
      <c r="A76" s="11" t="s">
        <v>363</v>
      </c>
      <c r="B76" s="11" t="s">
        <v>233</v>
      </c>
      <c r="C76" s="11" t="s">
        <v>214</v>
      </c>
      <c r="D76" s="11" t="s">
        <v>2171</v>
      </c>
      <c r="E76" s="11">
        <v>1</v>
      </c>
    </row>
    <row r="77" spans="1:5" ht="24.75">
      <c r="A77" s="11" t="s">
        <v>363</v>
      </c>
      <c r="B77" s="11" t="s">
        <v>233</v>
      </c>
      <c r="C77" s="11" t="s">
        <v>214</v>
      </c>
      <c r="D77" s="11" t="s">
        <v>2172</v>
      </c>
      <c r="E77" s="11">
        <v>1</v>
      </c>
    </row>
    <row r="78" spans="1:5" ht="24.75">
      <c r="A78" s="11" t="s">
        <v>363</v>
      </c>
      <c r="B78" s="11" t="s">
        <v>233</v>
      </c>
      <c r="C78" s="11" t="s">
        <v>214</v>
      </c>
      <c r="D78" s="11" t="s">
        <v>2173</v>
      </c>
      <c r="E78" s="11">
        <v>1</v>
      </c>
    </row>
    <row r="79" spans="1:5" ht="24.75">
      <c r="A79" s="11" t="s">
        <v>363</v>
      </c>
      <c r="B79" s="11" t="s">
        <v>233</v>
      </c>
      <c r="C79" s="11" t="s">
        <v>214</v>
      </c>
      <c r="D79" s="11" t="s">
        <v>2174</v>
      </c>
      <c r="E79" s="11">
        <v>1</v>
      </c>
    </row>
    <row r="80" spans="1:5" ht="24.75">
      <c r="A80" s="11" t="s">
        <v>363</v>
      </c>
      <c r="B80" s="11" t="s">
        <v>233</v>
      </c>
      <c r="C80" s="11" t="s">
        <v>214</v>
      </c>
      <c r="D80" s="11" t="s">
        <v>2175</v>
      </c>
      <c r="E80" s="11">
        <v>1</v>
      </c>
    </row>
    <row r="81" spans="1:5" ht="24.75">
      <c r="A81" s="11" t="s">
        <v>363</v>
      </c>
      <c r="B81" s="11" t="s">
        <v>233</v>
      </c>
      <c r="C81" s="11" t="s">
        <v>214</v>
      </c>
      <c r="D81" s="11" t="s">
        <v>2176</v>
      </c>
      <c r="E81" s="11">
        <v>1</v>
      </c>
    </row>
    <row r="82" spans="1:5" ht="24.75">
      <c r="A82" s="11" t="s">
        <v>363</v>
      </c>
      <c r="B82" s="11" t="s">
        <v>233</v>
      </c>
      <c r="C82" s="11" t="s">
        <v>214</v>
      </c>
      <c r="D82" s="11" t="s">
        <v>2177</v>
      </c>
      <c r="E82" s="11">
        <v>1</v>
      </c>
    </row>
    <row r="83" spans="1:5" ht="24.75">
      <c r="A83" s="11" t="s">
        <v>363</v>
      </c>
      <c r="B83" s="11" t="s">
        <v>233</v>
      </c>
      <c r="C83" s="11" t="s">
        <v>214</v>
      </c>
      <c r="D83" s="11" t="s">
        <v>2178</v>
      </c>
      <c r="E83" s="11">
        <v>1</v>
      </c>
    </row>
    <row r="84" spans="1:5" ht="24.75">
      <c r="A84" s="11" t="s">
        <v>363</v>
      </c>
      <c r="B84" s="11" t="s">
        <v>233</v>
      </c>
      <c r="C84" s="11" t="s">
        <v>214</v>
      </c>
      <c r="D84" s="11" t="s">
        <v>2179</v>
      </c>
      <c r="E84" s="11">
        <v>1</v>
      </c>
    </row>
    <row r="85" spans="1:5" ht="24.75">
      <c r="A85" s="11" t="s">
        <v>363</v>
      </c>
      <c r="B85" s="11" t="s">
        <v>233</v>
      </c>
      <c r="C85" s="11" t="s">
        <v>214</v>
      </c>
      <c r="D85" s="11" t="s">
        <v>2180</v>
      </c>
      <c r="E85" s="11">
        <v>1</v>
      </c>
    </row>
    <row r="86" spans="1:5" ht="24.75">
      <c r="A86" s="11" t="s">
        <v>363</v>
      </c>
      <c r="B86" s="11" t="s">
        <v>233</v>
      </c>
      <c r="C86" s="11" t="s">
        <v>214</v>
      </c>
      <c r="D86" s="11" t="s">
        <v>2181</v>
      </c>
      <c r="E86" s="11">
        <v>1</v>
      </c>
    </row>
    <row r="87" spans="1:5" ht="24.75">
      <c r="A87" s="11" t="s">
        <v>363</v>
      </c>
      <c r="B87" s="11" t="s">
        <v>233</v>
      </c>
      <c r="C87" s="11" t="s">
        <v>214</v>
      </c>
      <c r="D87" s="11" t="s">
        <v>2182</v>
      </c>
      <c r="E87" s="11">
        <v>1</v>
      </c>
    </row>
    <row r="88" spans="1:5" ht="24.75">
      <c r="A88" s="11" t="s">
        <v>363</v>
      </c>
      <c r="B88" s="11" t="s">
        <v>233</v>
      </c>
      <c r="C88" s="11" t="s">
        <v>214</v>
      </c>
      <c r="D88" s="11" t="s">
        <v>2183</v>
      </c>
      <c r="E88" s="11">
        <v>1</v>
      </c>
    </row>
    <row r="89" spans="1:5" ht="24.75">
      <c r="A89" s="11" t="s">
        <v>363</v>
      </c>
      <c r="B89" s="11" t="s">
        <v>233</v>
      </c>
      <c r="C89" s="11" t="s">
        <v>214</v>
      </c>
      <c r="D89" s="11" t="s">
        <v>2184</v>
      </c>
      <c r="E89" s="11">
        <v>1</v>
      </c>
    </row>
    <row r="90" spans="1:5" ht="24.75">
      <c r="A90" s="11" t="s">
        <v>363</v>
      </c>
      <c r="B90" s="11" t="s">
        <v>233</v>
      </c>
      <c r="C90" s="11" t="s">
        <v>214</v>
      </c>
      <c r="D90" s="11" t="s">
        <v>2185</v>
      </c>
      <c r="E90" s="11">
        <v>1</v>
      </c>
    </row>
    <row r="91" spans="1:5" ht="24.75">
      <c r="A91" s="11" t="s">
        <v>363</v>
      </c>
      <c r="B91" s="11" t="s">
        <v>233</v>
      </c>
      <c r="C91" s="11" t="s">
        <v>214</v>
      </c>
      <c r="D91" s="11" t="s">
        <v>2186</v>
      </c>
      <c r="E91" s="11">
        <v>1</v>
      </c>
    </row>
    <row r="92" spans="1:5" ht="24.75">
      <c r="A92" s="11" t="s">
        <v>363</v>
      </c>
      <c r="B92" s="11" t="s">
        <v>233</v>
      </c>
      <c r="C92" s="11" t="s">
        <v>214</v>
      </c>
      <c r="D92" s="11" t="s">
        <v>2187</v>
      </c>
      <c r="E92" s="11">
        <v>1</v>
      </c>
    </row>
    <row r="93" spans="1:5" ht="24.75">
      <c r="A93" s="11" t="s">
        <v>363</v>
      </c>
      <c r="B93" s="11" t="s">
        <v>233</v>
      </c>
      <c r="C93" s="11" t="s">
        <v>214</v>
      </c>
      <c r="D93" s="11" t="s">
        <v>2188</v>
      </c>
      <c r="E93" s="11">
        <v>1</v>
      </c>
    </row>
    <row r="94" spans="1:5" ht="24.75">
      <c r="A94" s="11" t="s">
        <v>363</v>
      </c>
      <c r="B94" s="11" t="s">
        <v>233</v>
      </c>
      <c r="C94" s="11" t="s">
        <v>214</v>
      </c>
      <c r="D94" s="11" t="s">
        <v>2189</v>
      </c>
      <c r="E94" s="11">
        <v>1</v>
      </c>
    </row>
    <row r="95" spans="1:5" ht="24.75">
      <c r="A95" s="11" t="s">
        <v>363</v>
      </c>
      <c r="B95" s="11" t="s">
        <v>233</v>
      </c>
      <c r="C95" s="11" t="s">
        <v>214</v>
      </c>
      <c r="D95" s="11" t="s">
        <v>2190</v>
      </c>
      <c r="E95" s="11">
        <v>1</v>
      </c>
    </row>
    <row r="96" spans="1:5" ht="24.75">
      <c r="A96" s="11" t="s">
        <v>363</v>
      </c>
      <c r="B96" s="11" t="s">
        <v>233</v>
      </c>
      <c r="C96" s="11" t="s">
        <v>214</v>
      </c>
      <c r="D96" s="11" t="s">
        <v>2191</v>
      </c>
      <c r="E96" s="11">
        <v>1</v>
      </c>
    </row>
    <row r="97" spans="1:5" ht="24.75">
      <c r="A97" s="11" t="s">
        <v>363</v>
      </c>
      <c r="B97" s="11" t="s">
        <v>233</v>
      </c>
      <c r="C97" s="11" t="s">
        <v>214</v>
      </c>
      <c r="D97" s="11" t="s">
        <v>2192</v>
      </c>
      <c r="E97" s="11">
        <v>1</v>
      </c>
    </row>
    <row r="98" spans="1:5" ht="24.75">
      <c r="A98" s="11" t="s">
        <v>363</v>
      </c>
      <c r="B98" s="11" t="s">
        <v>233</v>
      </c>
      <c r="C98" s="11" t="s">
        <v>214</v>
      </c>
      <c r="D98" s="11" t="s">
        <v>2193</v>
      </c>
      <c r="E98" s="11">
        <v>1</v>
      </c>
    </row>
    <row r="99" spans="1:5" ht="24.75">
      <c r="A99" s="11" t="s">
        <v>363</v>
      </c>
      <c r="B99" s="11" t="s">
        <v>233</v>
      </c>
      <c r="C99" s="11" t="s">
        <v>214</v>
      </c>
      <c r="D99" s="11" t="s">
        <v>2194</v>
      </c>
      <c r="E99" s="11">
        <v>1</v>
      </c>
    </row>
    <row r="100" spans="1:5" ht="24.75">
      <c r="A100" s="11" t="s">
        <v>363</v>
      </c>
      <c r="B100" s="11" t="s">
        <v>233</v>
      </c>
      <c r="C100" s="11" t="s">
        <v>214</v>
      </c>
      <c r="D100" s="11" t="s">
        <v>2195</v>
      </c>
      <c r="E100" s="11">
        <v>1</v>
      </c>
    </row>
    <row r="101" spans="1:5" ht="24.75">
      <c r="A101" s="11" t="s">
        <v>363</v>
      </c>
      <c r="B101" s="11" t="s">
        <v>233</v>
      </c>
      <c r="C101" s="11" t="s">
        <v>214</v>
      </c>
      <c r="D101" s="11" t="s">
        <v>2196</v>
      </c>
      <c r="E101" s="11">
        <v>1</v>
      </c>
    </row>
    <row r="102" spans="1:5" ht="24.75">
      <c r="A102" s="11" t="s">
        <v>363</v>
      </c>
      <c r="B102" s="11" t="s">
        <v>233</v>
      </c>
      <c r="C102" s="11" t="s">
        <v>214</v>
      </c>
      <c r="D102" s="11" t="s">
        <v>2197</v>
      </c>
      <c r="E102" s="11">
        <v>1</v>
      </c>
    </row>
    <row r="103" spans="1:5" ht="24.75">
      <c r="A103" s="11" t="s">
        <v>363</v>
      </c>
      <c r="B103" s="11" t="s">
        <v>233</v>
      </c>
      <c r="C103" s="11" t="s">
        <v>214</v>
      </c>
      <c r="D103" s="11" t="s">
        <v>2198</v>
      </c>
      <c r="E103" s="11">
        <v>1</v>
      </c>
    </row>
    <row r="104" spans="1:5" ht="24.75">
      <c r="A104" s="11" t="s">
        <v>363</v>
      </c>
      <c r="B104" s="11" t="s">
        <v>233</v>
      </c>
      <c r="C104" s="11" t="s">
        <v>214</v>
      </c>
      <c r="D104" s="11" t="s">
        <v>2199</v>
      </c>
      <c r="E104" s="11">
        <v>1</v>
      </c>
    </row>
    <row r="105" spans="1:5" ht="24.75">
      <c r="A105" s="11" t="s">
        <v>363</v>
      </c>
      <c r="B105" s="11" t="s">
        <v>233</v>
      </c>
      <c r="C105" s="11" t="s">
        <v>214</v>
      </c>
      <c r="D105" s="11" t="s">
        <v>2200</v>
      </c>
      <c r="E105" s="11">
        <v>1</v>
      </c>
    </row>
    <row r="106" spans="1:5" ht="24.75">
      <c r="A106" s="11" t="s">
        <v>363</v>
      </c>
      <c r="B106" s="11" t="s">
        <v>233</v>
      </c>
      <c r="C106" s="11" t="s">
        <v>214</v>
      </c>
      <c r="D106" s="11" t="s">
        <v>2201</v>
      </c>
      <c r="E106" s="11">
        <v>1</v>
      </c>
    </row>
    <row r="107" spans="1:5" ht="24.75">
      <c r="A107" s="11" t="s">
        <v>363</v>
      </c>
      <c r="B107" s="11" t="s">
        <v>233</v>
      </c>
      <c r="C107" s="11" t="s">
        <v>214</v>
      </c>
      <c r="D107" s="11" t="s">
        <v>2202</v>
      </c>
      <c r="E107" s="11">
        <v>1</v>
      </c>
    </row>
    <row r="108" spans="1:5" ht="24.75">
      <c r="A108" s="11" t="s">
        <v>363</v>
      </c>
      <c r="B108" s="11" t="s">
        <v>233</v>
      </c>
      <c r="C108" s="11" t="s">
        <v>214</v>
      </c>
      <c r="D108" s="11" t="s">
        <v>2203</v>
      </c>
      <c r="E108" s="11">
        <v>1</v>
      </c>
    </row>
    <row r="109" spans="1:5">
      <c r="A109" s="1" t="s">
        <v>207</v>
      </c>
      <c r="B109" s="1" t="s">
        <v>207</v>
      </c>
      <c r="C109" s="1">
        <f>SUBTOTAL(103,Elements132261[Elemento])</f>
        <v>102</v>
      </c>
      <c r="D109" s="1" t="s">
        <v>207</v>
      </c>
      <c r="E109" s="1">
        <f>SUBTOTAL(109,Elements132261[Totais:])</f>
        <v>102</v>
      </c>
    </row>
    <row r="112" spans="1:5">
      <c r="A112" s="23" t="s">
        <v>114</v>
      </c>
      <c r="B112" s="23" t="s">
        <v>114</v>
      </c>
      <c r="C112" s="23" t="s">
        <v>114</v>
      </c>
      <c r="D112" s="23" t="s">
        <v>114</v>
      </c>
      <c r="E112" s="23" t="s">
        <v>114</v>
      </c>
    </row>
    <row r="113" spans="1:5">
      <c r="A113" s="23" t="s">
        <v>114</v>
      </c>
      <c r="B113" s="23" t="s">
        <v>114</v>
      </c>
      <c r="C113" s="23" t="s">
        <v>114</v>
      </c>
      <c r="D113" s="23" t="s">
        <v>114</v>
      </c>
      <c r="E113" s="23" t="s">
        <v>114</v>
      </c>
    </row>
    <row r="115" spans="1:5">
      <c r="A115" s="18" t="s">
        <v>206</v>
      </c>
      <c r="B115" s="18" t="s">
        <v>206</v>
      </c>
      <c r="C115" s="18" t="s">
        <v>206</v>
      </c>
      <c r="D115" s="18" t="s">
        <v>206</v>
      </c>
      <c r="E115" s="18" t="s">
        <v>206</v>
      </c>
    </row>
    <row r="116" spans="1:5">
      <c r="A116" s="24" t="s">
        <v>207</v>
      </c>
      <c r="B116" s="24" t="s">
        <v>207</v>
      </c>
      <c r="C116" s="24" t="s">
        <v>207</v>
      </c>
      <c r="D116" s="24" t="s">
        <v>207</v>
      </c>
      <c r="E116" s="24" t="s">
        <v>207</v>
      </c>
    </row>
    <row r="117" spans="1:5">
      <c r="A117" s="10" t="s">
        <v>358</v>
      </c>
      <c r="B117" s="10" t="s">
        <v>359</v>
      </c>
      <c r="C117" s="10" t="s">
        <v>360</v>
      </c>
      <c r="D117" s="10" t="s">
        <v>361</v>
      </c>
      <c r="E117" s="10" t="s">
        <v>362</v>
      </c>
    </row>
    <row r="118" spans="1:5" ht="24.75">
      <c r="A118" s="11" t="s">
        <v>363</v>
      </c>
      <c r="B118" s="11" t="s">
        <v>233</v>
      </c>
      <c r="C118" s="11" t="s">
        <v>214</v>
      </c>
      <c r="D118" s="11" t="s">
        <v>2204</v>
      </c>
      <c r="E118" s="11">
        <v>1</v>
      </c>
    </row>
    <row r="119" spans="1:5" ht="24.75">
      <c r="A119" s="11" t="s">
        <v>363</v>
      </c>
      <c r="B119" s="11" t="s">
        <v>233</v>
      </c>
      <c r="C119" s="11" t="s">
        <v>214</v>
      </c>
      <c r="D119" s="11" t="s">
        <v>2205</v>
      </c>
      <c r="E119" s="11">
        <v>1</v>
      </c>
    </row>
    <row r="120" spans="1:5" ht="24.75">
      <c r="A120" s="11" t="s">
        <v>363</v>
      </c>
      <c r="B120" s="11" t="s">
        <v>233</v>
      </c>
      <c r="C120" s="11" t="s">
        <v>214</v>
      </c>
      <c r="D120" s="11" t="s">
        <v>2206</v>
      </c>
      <c r="E120" s="11">
        <v>1</v>
      </c>
    </row>
    <row r="121" spans="1:5" ht="24.75">
      <c r="A121" s="11" t="s">
        <v>363</v>
      </c>
      <c r="B121" s="11" t="s">
        <v>233</v>
      </c>
      <c r="C121" s="11" t="s">
        <v>214</v>
      </c>
      <c r="D121" s="11" t="s">
        <v>2207</v>
      </c>
      <c r="E121" s="11">
        <v>1</v>
      </c>
    </row>
    <row r="122" spans="1:5" ht="24.75">
      <c r="A122" s="11" t="s">
        <v>363</v>
      </c>
      <c r="B122" s="11" t="s">
        <v>233</v>
      </c>
      <c r="C122" s="11" t="s">
        <v>214</v>
      </c>
      <c r="D122" s="11" t="s">
        <v>2208</v>
      </c>
      <c r="E122" s="11">
        <v>1</v>
      </c>
    </row>
    <row r="123" spans="1:5" ht="24.75">
      <c r="A123" s="11" t="s">
        <v>363</v>
      </c>
      <c r="B123" s="11" t="s">
        <v>233</v>
      </c>
      <c r="C123" s="11" t="s">
        <v>214</v>
      </c>
      <c r="D123" s="11" t="s">
        <v>2209</v>
      </c>
      <c r="E123" s="11">
        <v>1</v>
      </c>
    </row>
    <row r="124" spans="1:5" ht="24.75">
      <c r="A124" s="11" t="s">
        <v>363</v>
      </c>
      <c r="B124" s="11" t="s">
        <v>233</v>
      </c>
      <c r="C124" s="11" t="s">
        <v>214</v>
      </c>
      <c r="D124" s="11" t="s">
        <v>2210</v>
      </c>
      <c r="E124" s="11">
        <v>1</v>
      </c>
    </row>
    <row r="125" spans="1:5" ht="24.75">
      <c r="A125" s="11" t="s">
        <v>363</v>
      </c>
      <c r="B125" s="11" t="s">
        <v>233</v>
      </c>
      <c r="C125" s="11" t="s">
        <v>214</v>
      </c>
      <c r="D125" s="11" t="s">
        <v>2211</v>
      </c>
      <c r="E125" s="11">
        <v>1</v>
      </c>
    </row>
    <row r="126" spans="1:5" ht="24.75">
      <c r="A126" s="11" t="s">
        <v>363</v>
      </c>
      <c r="B126" s="11" t="s">
        <v>233</v>
      </c>
      <c r="C126" s="11" t="s">
        <v>214</v>
      </c>
      <c r="D126" s="11" t="s">
        <v>2212</v>
      </c>
      <c r="E126" s="11">
        <v>1</v>
      </c>
    </row>
    <row r="127" spans="1:5" ht="24.75">
      <c r="A127" s="11" t="s">
        <v>363</v>
      </c>
      <c r="B127" s="11" t="s">
        <v>233</v>
      </c>
      <c r="C127" s="11" t="s">
        <v>214</v>
      </c>
      <c r="D127" s="11" t="s">
        <v>2213</v>
      </c>
      <c r="E127" s="11">
        <v>1</v>
      </c>
    </row>
    <row r="128" spans="1:5" ht="24.75">
      <c r="A128" s="11" t="s">
        <v>363</v>
      </c>
      <c r="B128" s="11" t="s">
        <v>233</v>
      </c>
      <c r="C128" s="11" t="s">
        <v>214</v>
      </c>
      <c r="D128" s="11" t="s">
        <v>2214</v>
      </c>
      <c r="E128" s="11">
        <v>1</v>
      </c>
    </row>
    <row r="129" spans="1:5" ht="24.75">
      <c r="A129" s="11" t="s">
        <v>363</v>
      </c>
      <c r="B129" s="11" t="s">
        <v>233</v>
      </c>
      <c r="C129" s="11" t="s">
        <v>214</v>
      </c>
      <c r="D129" s="11" t="s">
        <v>2215</v>
      </c>
      <c r="E129" s="11">
        <v>1</v>
      </c>
    </row>
    <row r="130" spans="1:5" ht="24.75">
      <c r="A130" s="11" t="s">
        <v>363</v>
      </c>
      <c r="B130" s="11" t="s">
        <v>233</v>
      </c>
      <c r="C130" s="11" t="s">
        <v>214</v>
      </c>
      <c r="D130" s="11" t="s">
        <v>2216</v>
      </c>
      <c r="E130" s="11">
        <v>1</v>
      </c>
    </row>
    <row r="131" spans="1:5" ht="24.75">
      <c r="A131" s="11" t="s">
        <v>363</v>
      </c>
      <c r="B131" s="11" t="s">
        <v>233</v>
      </c>
      <c r="C131" s="11" t="s">
        <v>214</v>
      </c>
      <c r="D131" s="11" t="s">
        <v>2217</v>
      </c>
      <c r="E131" s="11">
        <v>1</v>
      </c>
    </row>
    <row r="132" spans="1:5" ht="24.75">
      <c r="A132" s="11" t="s">
        <v>363</v>
      </c>
      <c r="B132" s="11" t="s">
        <v>233</v>
      </c>
      <c r="C132" s="11" t="s">
        <v>214</v>
      </c>
      <c r="D132" s="11" t="s">
        <v>2218</v>
      </c>
      <c r="E132" s="11">
        <v>1</v>
      </c>
    </row>
    <row r="133" spans="1:5" ht="24.75">
      <c r="A133" s="11" t="s">
        <v>363</v>
      </c>
      <c r="B133" s="11" t="s">
        <v>233</v>
      </c>
      <c r="C133" s="11" t="s">
        <v>214</v>
      </c>
      <c r="D133" s="11" t="s">
        <v>2219</v>
      </c>
      <c r="E133" s="11">
        <v>1</v>
      </c>
    </row>
    <row r="134" spans="1:5" ht="24.75">
      <c r="A134" s="11" t="s">
        <v>363</v>
      </c>
      <c r="B134" s="11" t="s">
        <v>233</v>
      </c>
      <c r="C134" s="11" t="s">
        <v>214</v>
      </c>
      <c r="D134" s="11" t="s">
        <v>2220</v>
      </c>
      <c r="E134" s="11">
        <v>1</v>
      </c>
    </row>
    <row r="135" spans="1:5" ht="24.75">
      <c r="A135" s="11" t="s">
        <v>363</v>
      </c>
      <c r="B135" s="11" t="s">
        <v>233</v>
      </c>
      <c r="C135" s="11" t="s">
        <v>214</v>
      </c>
      <c r="D135" s="11" t="s">
        <v>2221</v>
      </c>
      <c r="E135" s="11">
        <v>1</v>
      </c>
    </row>
    <row r="136" spans="1:5" ht="24.75">
      <c r="A136" s="11" t="s">
        <v>363</v>
      </c>
      <c r="B136" s="11" t="s">
        <v>233</v>
      </c>
      <c r="C136" s="11" t="s">
        <v>214</v>
      </c>
      <c r="D136" s="11" t="s">
        <v>2222</v>
      </c>
      <c r="E136" s="11">
        <v>1</v>
      </c>
    </row>
    <row r="137" spans="1:5" ht="24.75">
      <c r="A137" s="11" t="s">
        <v>363</v>
      </c>
      <c r="B137" s="11" t="s">
        <v>233</v>
      </c>
      <c r="C137" s="11" t="s">
        <v>214</v>
      </c>
      <c r="D137" s="11" t="s">
        <v>2223</v>
      </c>
      <c r="E137" s="11">
        <v>1</v>
      </c>
    </row>
    <row r="138" spans="1:5" ht="24.75">
      <c r="A138" s="11" t="s">
        <v>363</v>
      </c>
      <c r="B138" s="11" t="s">
        <v>233</v>
      </c>
      <c r="C138" s="11" t="s">
        <v>214</v>
      </c>
      <c r="D138" s="11" t="s">
        <v>2224</v>
      </c>
      <c r="E138" s="11">
        <v>1</v>
      </c>
    </row>
    <row r="139" spans="1:5" ht="24.75">
      <c r="A139" s="11" t="s">
        <v>363</v>
      </c>
      <c r="B139" s="11" t="s">
        <v>233</v>
      </c>
      <c r="C139" s="11" t="s">
        <v>214</v>
      </c>
      <c r="D139" s="11" t="s">
        <v>2225</v>
      </c>
      <c r="E139" s="11">
        <v>1</v>
      </c>
    </row>
    <row r="140" spans="1:5" ht="24.75">
      <c r="A140" s="11" t="s">
        <v>363</v>
      </c>
      <c r="B140" s="11" t="s">
        <v>233</v>
      </c>
      <c r="C140" s="11" t="s">
        <v>214</v>
      </c>
      <c r="D140" s="11" t="s">
        <v>2226</v>
      </c>
      <c r="E140" s="11">
        <v>1</v>
      </c>
    </row>
    <row r="141" spans="1:5" ht="24.75">
      <c r="A141" s="11" t="s">
        <v>363</v>
      </c>
      <c r="B141" s="11" t="s">
        <v>233</v>
      </c>
      <c r="C141" s="11" t="s">
        <v>214</v>
      </c>
      <c r="D141" s="11" t="s">
        <v>2227</v>
      </c>
      <c r="E141" s="11">
        <v>1</v>
      </c>
    </row>
    <row r="142" spans="1:5" ht="24.75">
      <c r="A142" s="11" t="s">
        <v>363</v>
      </c>
      <c r="B142" s="11" t="s">
        <v>233</v>
      </c>
      <c r="C142" s="11" t="s">
        <v>214</v>
      </c>
      <c r="D142" s="11" t="s">
        <v>2228</v>
      </c>
      <c r="E142" s="11">
        <v>1</v>
      </c>
    </row>
    <row r="143" spans="1:5" ht="24.75">
      <c r="A143" s="11" t="s">
        <v>363</v>
      </c>
      <c r="B143" s="11" t="s">
        <v>233</v>
      </c>
      <c r="C143" s="11" t="s">
        <v>214</v>
      </c>
      <c r="D143" s="11" t="s">
        <v>2229</v>
      </c>
      <c r="E143" s="11">
        <v>1</v>
      </c>
    </row>
    <row r="144" spans="1:5" ht="24.75">
      <c r="A144" s="11" t="s">
        <v>363</v>
      </c>
      <c r="B144" s="11" t="s">
        <v>233</v>
      </c>
      <c r="C144" s="11" t="s">
        <v>214</v>
      </c>
      <c r="D144" s="11" t="s">
        <v>2230</v>
      </c>
      <c r="E144" s="11">
        <v>1</v>
      </c>
    </row>
    <row r="145" spans="1:5" ht="24.75">
      <c r="A145" s="11" t="s">
        <v>363</v>
      </c>
      <c r="B145" s="11" t="s">
        <v>233</v>
      </c>
      <c r="C145" s="11" t="s">
        <v>214</v>
      </c>
      <c r="D145" s="11" t="s">
        <v>2231</v>
      </c>
      <c r="E145" s="11">
        <v>1</v>
      </c>
    </row>
    <row r="146" spans="1:5" ht="24.75">
      <c r="A146" s="11" t="s">
        <v>363</v>
      </c>
      <c r="B146" s="11" t="s">
        <v>233</v>
      </c>
      <c r="C146" s="11" t="s">
        <v>214</v>
      </c>
      <c r="D146" s="11" t="s">
        <v>2232</v>
      </c>
      <c r="E146" s="11">
        <v>1</v>
      </c>
    </row>
    <row r="147" spans="1:5" ht="24.75">
      <c r="A147" s="11" t="s">
        <v>363</v>
      </c>
      <c r="B147" s="11" t="s">
        <v>233</v>
      </c>
      <c r="C147" s="11" t="s">
        <v>214</v>
      </c>
      <c r="D147" s="11" t="s">
        <v>2233</v>
      </c>
      <c r="E147" s="11">
        <v>1</v>
      </c>
    </row>
    <row r="148" spans="1:5" ht="24.75">
      <c r="A148" s="11" t="s">
        <v>363</v>
      </c>
      <c r="B148" s="11" t="s">
        <v>233</v>
      </c>
      <c r="C148" s="11" t="s">
        <v>214</v>
      </c>
      <c r="D148" s="11" t="s">
        <v>2234</v>
      </c>
      <c r="E148" s="11">
        <v>1</v>
      </c>
    </row>
    <row r="149" spans="1:5" ht="24.75">
      <c r="A149" s="11" t="s">
        <v>363</v>
      </c>
      <c r="B149" s="11" t="s">
        <v>233</v>
      </c>
      <c r="C149" s="11" t="s">
        <v>214</v>
      </c>
      <c r="D149" s="11" t="s">
        <v>2235</v>
      </c>
      <c r="E149" s="11">
        <v>1</v>
      </c>
    </row>
    <row r="150" spans="1:5" ht="24.75">
      <c r="A150" s="11" t="s">
        <v>363</v>
      </c>
      <c r="B150" s="11" t="s">
        <v>233</v>
      </c>
      <c r="C150" s="11" t="s">
        <v>214</v>
      </c>
      <c r="D150" s="11" t="s">
        <v>2236</v>
      </c>
      <c r="E150" s="11">
        <v>1</v>
      </c>
    </row>
    <row r="151" spans="1:5" ht="24.75">
      <c r="A151" s="11" t="s">
        <v>363</v>
      </c>
      <c r="B151" s="11" t="s">
        <v>233</v>
      </c>
      <c r="C151" s="11" t="s">
        <v>214</v>
      </c>
      <c r="D151" s="11" t="s">
        <v>2237</v>
      </c>
      <c r="E151" s="11">
        <v>1</v>
      </c>
    </row>
    <row r="152" spans="1:5" ht="24.75">
      <c r="A152" s="11" t="s">
        <v>363</v>
      </c>
      <c r="B152" s="11" t="s">
        <v>233</v>
      </c>
      <c r="C152" s="11" t="s">
        <v>214</v>
      </c>
      <c r="D152" s="11" t="s">
        <v>2238</v>
      </c>
      <c r="E152" s="11">
        <v>1</v>
      </c>
    </row>
    <row r="153" spans="1:5" ht="24.75">
      <c r="A153" s="11" t="s">
        <v>363</v>
      </c>
      <c r="B153" s="11" t="s">
        <v>233</v>
      </c>
      <c r="C153" s="11" t="s">
        <v>214</v>
      </c>
      <c r="D153" s="11" t="s">
        <v>2239</v>
      </c>
      <c r="E153" s="11">
        <v>1</v>
      </c>
    </row>
    <row r="154" spans="1:5" ht="24.75">
      <c r="A154" s="11" t="s">
        <v>363</v>
      </c>
      <c r="B154" s="11" t="s">
        <v>233</v>
      </c>
      <c r="C154" s="11" t="s">
        <v>214</v>
      </c>
      <c r="D154" s="11" t="s">
        <v>2240</v>
      </c>
      <c r="E154" s="11">
        <v>1</v>
      </c>
    </row>
    <row r="155" spans="1:5" ht="24.75">
      <c r="A155" s="11" t="s">
        <v>363</v>
      </c>
      <c r="B155" s="11" t="s">
        <v>233</v>
      </c>
      <c r="C155" s="11" t="s">
        <v>214</v>
      </c>
      <c r="D155" s="11" t="s">
        <v>2241</v>
      </c>
      <c r="E155" s="11">
        <v>1</v>
      </c>
    </row>
    <row r="156" spans="1:5" ht="24.75">
      <c r="A156" s="11" t="s">
        <v>363</v>
      </c>
      <c r="B156" s="11" t="s">
        <v>233</v>
      </c>
      <c r="C156" s="11" t="s">
        <v>214</v>
      </c>
      <c r="D156" s="11" t="s">
        <v>2242</v>
      </c>
      <c r="E156" s="11">
        <v>1</v>
      </c>
    </row>
    <row r="157" spans="1:5" ht="24.75">
      <c r="A157" s="11" t="s">
        <v>363</v>
      </c>
      <c r="B157" s="11" t="s">
        <v>233</v>
      </c>
      <c r="C157" s="11" t="s">
        <v>214</v>
      </c>
      <c r="D157" s="11" t="s">
        <v>2243</v>
      </c>
      <c r="E157" s="11">
        <v>1</v>
      </c>
    </row>
    <row r="158" spans="1:5" ht="24.75">
      <c r="A158" s="11" t="s">
        <v>363</v>
      </c>
      <c r="B158" s="11" t="s">
        <v>233</v>
      </c>
      <c r="C158" s="11" t="s">
        <v>214</v>
      </c>
      <c r="D158" s="11" t="s">
        <v>2244</v>
      </c>
      <c r="E158" s="11">
        <v>1</v>
      </c>
    </row>
    <row r="159" spans="1:5" ht="24.75">
      <c r="A159" s="11" t="s">
        <v>363</v>
      </c>
      <c r="B159" s="11" t="s">
        <v>233</v>
      </c>
      <c r="C159" s="11" t="s">
        <v>214</v>
      </c>
      <c r="D159" s="11" t="s">
        <v>2245</v>
      </c>
      <c r="E159" s="11">
        <v>1</v>
      </c>
    </row>
    <row r="160" spans="1:5" ht="24.75">
      <c r="A160" s="11" t="s">
        <v>363</v>
      </c>
      <c r="B160" s="11" t="s">
        <v>233</v>
      </c>
      <c r="C160" s="11" t="s">
        <v>214</v>
      </c>
      <c r="D160" s="11" t="s">
        <v>2246</v>
      </c>
      <c r="E160" s="11">
        <v>1</v>
      </c>
    </row>
    <row r="161" spans="1:5" ht="24.75">
      <c r="A161" s="11" t="s">
        <v>363</v>
      </c>
      <c r="B161" s="11" t="s">
        <v>233</v>
      </c>
      <c r="C161" s="11" t="s">
        <v>214</v>
      </c>
      <c r="D161" s="11" t="s">
        <v>2247</v>
      </c>
      <c r="E161" s="11">
        <v>1</v>
      </c>
    </row>
    <row r="162" spans="1:5" ht="24.75">
      <c r="A162" s="11" t="s">
        <v>363</v>
      </c>
      <c r="B162" s="11" t="s">
        <v>233</v>
      </c>
      <c r="C162" s="11" t="s">
        <v>214</v>
      </c>
      <c r="D162" s="11" t="s">
        <v>2248</v>
      </c>
      <c r="E162" s="11">
        <v>1</v>
      </c>
    </row>
    <row r="163" spans="1:5" ht="24.75">
      <c r="A163" s="11" t="s">
        <v>363</v>
      </c>
      <c r="B163" s="11" t="s">
        <v>233</v>
      </c>
      <c r="C163" s="11" t="s">
        <v>214</v>
      </c>
      <c r="D163" s="11" t="s">
        <v>2249</v>
      </c>
      <c r="E163" s="11">
        <v>1</v>
      </c>
    </row>
    <row r="164" spans="1:5" ht="24.75">
      <c r="A164" s="11" t="s">
        <v>363</v>
      </c>
      <c r="B164" s="11" t="s">
        <v>233</v>
      </c>
      <c r="C164" s="11" t="s">
        <v>214</v>
      </c>
      <c r="D164" s="11" t="s">
        <v>2250</v>
      </c>
      <c r="E164" s="11">
        <v>1</v>
      </c>
    </row>
    <row r="165" spans="1:5" ht="24.75">
      <c r="A165" s="11" t="s">
        <v>363</v>
      </c>
      <c r="B165" s="11" t="s">
        <v>233</v>
      </c>
      <c r="C165" s="11" t="s">
        <v>214</v>
      </c>
      <c r="D165" s="11" t="s">
        <v>2251</v>
      </c>
      <c r="E165" s="11">
        <v>1</v>
      </c>
    </row>
    <row r="166" spans="1:5" ht="24.75">
      <c r="A166" s="11" t="s">
        <v>363</v>
      </c>
      <c r="B166" s="11" t="s">
        <v>233</v>
      </c>
      <c r="C166" s="11" t="s">
        <v>214</v>
      </c>
      <c r="D166" s="11" t="s">
        <v>2252</v>
      </c>
      <c r="E166" s="11">
        <v>1</v>
      </c>
    </row>
    <row r="167" spans="1:5" ht="24.75">
      <c r="A167" s="11" t="s">
        <v>363</v>
      </c>
      <c r="B167" s="11" t="s">
        <v>233</v>
      </c>
      <c r="C167" s="11" t="s">
        <v>214</v>
      </c>
      <c r="D167" s="11" t="s">
        <v>2253</v>
      </c>
      <c r="E167" s="11">
        <v>1</v>
      </c>
    </row>
    <row r="168" spans="1:5" ht="24.75">
      <c r="A168" s="11" t="s">
        <v>363</v>
      </c>
      <c r="B168" s="11" t="s">
        <v>233</v>
      </c>
      <c r="C168" s="11" t="s">
        <v>214</v>
      </c>
      <c r="D168" s="11" t="s">
        <v>2254</v>
      </c>
      <c r="E168" s="11">
        <v>1</v>
      </c>
    </row>
    <row r="169" spans="1:5" ht="24.75">
      <c r="A169" s="11" t="s">
        <v>363</v>
      </c>
      <c r="B169" s="11" t="s">
        <v>233</v>
      </c>
      <c r="C169" s="11" t="s">
        <v>214</v>
      </c>
      <c r="D169" s="11" t="s">
        <v>2255</v>
      </c>
      <c r="E169" s="11">
        <v>1</v>
      </c>
    </row>
    <row r="170" spans="1:5" ht="24.75">
      <c r="A170" s="11" t="s">
        <v>363</v>
      </c>
      <c r="B170" s="11" t="s">
        <v>233</v>
      </c>
      <c r="C170" s="11" t="s">
        <v>214</v>
      </c>
      <c r="D170" s="11" t="s">
        <v>2256</v>
      </c>
      <c r="E170" s="11">
        <v>1</v>
      </c>
    </row>
    <row r="171" spans="1:5" ht="24.75">
      <c r="A171" s="11" t="s">
        <v>363</v>
      </c>
      <c r="B171" s="11" t="s">
        <v>233</v>
      </c>
      <c r="C171" s="11" t="s">
        <v>214</v>
      </c>
      <c r="D171" s="11" t="s">
        <v>2257</v>
      </c>
      <c r="E171" s="11">
        <v>1</v>
      </c>
    </row>
    <row r="172" spans="1:5" ht="24.75">
      <c r="A172" s="11" t="s">
        <v>363</v>
      </c>
      <c r="B172" s="11" t="s">
        <v>233</v>
      </c>
      <c r="C172" s="11" t="s">
        <v>214</v>
      </c>
      <c r="D172" s="11" t="s">
        <v>2258</v>
      </c>
      <c r="E172" s="11">
        <v>1</v>
      </c>
    </row>
    <row r="173" spans="1:5" ht="24.75">
      <c r="A173" s="11" t="s">
        <v>363</v>
      </c>
      <c r="B173" s="11" t="s">
        <v>233</v>
      </c>
      <c r="C173" s="11" t="s">
        <v>214</v>
      </c>
      <c r="D173" s="11" t="s">
        <v>2259</v>
      </c>
      <c r="E173" s="11">
        <v>1</v>
      </c>
    </row>
    <row r="174" spans="1:5" ht="24.75">
      <c r="A174" s="11" t="s">
        <v>363</v>
      </c>
      <c r="B174" s="11" t="s">
        <v>233</v>
      </c>
      <c r="C174" s="11" t="s">
        <v>214</v>
      </c>
      <c r="D174" s="11" t="s">
        <v>2260</v>
      </c>
      <c r="E174" s="11">
        <v>1</v>
      </c>
    </row>
    <row r="175" spans="1:5" ht="24.75">
      <c r="A175" s="11" t="s">
        <v>363</v>
      </c>
      <c r="B175" s="11" t="s">
        <v>233</v>
      </c>
      <c r="C175" s="11" t="s">
        <v>214</v>
      </c>
      <c r="D175" s="11" t="s">
        <v>2261</v>
      </c>
      <c r="E175" s="11">
        <v>1</v>
      </c>
    </row>
    <row r="176" spans="1:5" ht="24.75">
      <c r="A176" s="11" t="s">
        <v>363</v>
      </c>
      <c r="B176" s="11" t="s">
        <v>233</v>
      </c>
      <c r="C176" s="11" t="s">
        <v>214</v>
      </c>
      <c r="D176" s="11" t="s">
        <v>2262</v>
      </c>
      <c r="E176" s="11">
        <v>1</v>
      </c>
    </row>
    <row r="177" spans="1:5" ht="24.75">
      <c r="A177" s="11" t="s">
        <v>363</v>
      </c>
      <c r="B177" s="11" t="s">
        <v>233</v>
      </c>
      <c r="C177" s="11" t="s">
        <v>214</v>
      </c>
      <c r="D177" s="11" t="s">
        <v>2263</v>
      </c>
      <c r="E177" s="11">
        <v>1</v>
      </c>
    </row>
    <row r="178" spans="1:5" ht="24.75">
      <c r="A178" s="11" t="s">
        <v>363</v>
      </c>
      <c r="B178" s="11" t="s">
        <v>233</v>
      </c>
      <c r="C178" s="11" t="s">
        <v>214</v>
      </c>
      <c r="D178" s="11" t="s">
        <v>2264</v>
      </c>
      <c r="E178" s="11">
        <v>1</v>
      </c>
    </row>
    <row r="179" spans="1:5" ht="24.75">
      <c r="A179" s="11" t="s">
        <v>363</v>
      </c>
      <c r="B179" s="11" t="s">
        <v>233</v>
      </c>
      <c r="C179" s="11" t="s">
        <v>214</v>
      </c>
      <c r="D179" s="11" t="s">
        <v>2265</v>
      </c>
      <c r="E179" s="11">
        <v>1</v>
      </c>
    </row>
    <row r="180" spans="1:5" ht="24.75">
      <c r="A180" s="11" t="s">
        <v>363</v>
      </c>
      <c r="B180" s="11" t="s">
        <v>233</v>
      </c>
      <c r="C180" s="11" t="s">
        <v>214</v>
      </c>
      <c r="D180" s="11" t="s">
        <v>2266</v>
      </c>
      <c r="E180" s="11">
        <v>1</v>
      </c>
    </row>
    <row r="181" spans="1:5" ht="24.75">
      <c r="A181" s="11" t="s">
        <v>363</v>
      </c>
      <c r="B181" s="11" t="s">
        <v>233</v>
      </c>
      <c r="C181" s="11" t="s">
        <v>214</v>
      </c>
      <c r="D181" s="11" t="s">
        <v>2267</v>
      </c>
      <c r="E181" s="11">
        <v>1</v>
      </c>
    </row>
    <row r="182" spans="1:5" ht="24.75">
      <c r="A182" s="11" t="s">
        <v>363</v>
      </c>
      <c r="B182" s="11" t="s">
        <v>233</v>
      </c>
      <c r="C182" s="11" t="s">
        <v>214</v>
      </c>
      <c r="D182" s="11" t="s">
        <v>2268</v>
      </c>
      <c r="E182" s="11">
        <v>1</v>
      </c>
    </row>
    <row r="183" spans="1:5" ht="24.75">
      <c r="A183" s="11" t="s">
        <v>363</v>
      </c>
      <c r="B183" s="11" t="s">
        <v>233</v>
      </c>
      <c r="C183" s="11" t="s">
        <v>214</v>
      </c>
      <c r="D183" s="11" t="s">
        <v>2269</v>
      </c>
      <c r="E183" s="11">
        <v>1</v>
      </c>
    </row>
    <row r="184" spans="1:5" ht="24.75">
      <c r="A184" s="11" t="s">
        <v>363</v>
      </c>
      <c r="B184" s="11" t="s">
        <v>233</v>
      </c>
      <c r="C184" s="11" t="s">
        <v>214</v>
      </c>
      <c r="D184" s="11" t="s">
        <v>2270</v>
      </c>
      <c r="E184" s="11">
        <v>1</v>
      </c>
    </row>
    <row r="185" spans="1:5" ht="24.75">
      <c r="A185" s="11" t="s">
        <v>363</v>
      </c>
      <c r="B185" s="11" t="s">
        <v>233</v>
      </c>
      <c r="C185" s="11" t="s">
        <v>214</v>
      </c>
      <c r="D185" s="11" t="s">
        <v>2271</v>
      </c>
      <c r="E185" s="11">
        <v>1</v>
      </c>
    </row>
    <row r="186" spans="1:5" ht="24.75">
      <c r="A186" s="11" t="s">
        <v>363</v>
      </c>
      <c r="B186" s="11" t="s">
        <v>233</v>
      </c>
      <c r="C186" s="11" t="s">
        <v>214</v>
      </c>
      <c r="D186" s="11" t="s">
        <v>2272</v>
      </c>
      <c r="E186" s="11">
        <v>1</v>
      </c>
    </row>
    <row r="187" spans="1:5" ht="24.75">
      <c r="A187" s="11" t="s">
        <v>363</v>
      </c>
      <c r="B187" s="11" t="s">
        <v>233</v>
      </c>
      <c r="C187" s="11" t="s">
        <v>214</v>
      </c>
      <c r="D187" s="11" t="s">
        <v>2273</v>
      </c>
      <c r="E187" s="11">
        <v>1</v>
      </c>
    </row>
    <row r="188" spans="1:5" ht="24.75">
      <c r="A188" s="11" t="s">
        <v>363</v>
      </c>
      <c r="B188" s="11" t="s">
        <v>233</v>
      </c>
      <c r="C188" s="11" t="s">
        <v>214</v>
      </c>
      <c r="D188" s="11" t="s">
        <v>2274</v>
      </c>
      <c r="E188" s="11">
        <v>1</v>
      </c>
    </row>
    <row r="189" spans="1:5" ht="24.75">
      <c r="A189" s="11" t="s">
        <v>363</v>
      </c>
      <c r="B189" s="11" t="s">
        <v>233</v>
      </c>
      <c r="C189" s="11" t="s">
        <v>214</v>
      </c>
      <c r="D189" s="11" t="s">
        <v>2275</v>
      </c>
      <c r="E189" s="11">
        <v>1</v>
      </c>
    </row>
    <row r="190" spans="1:5" ht="24.75">
      <c r="A190" s="11" t="s">
        <v>363</v>
      </c>
      <c r="B190" s="11" t="s">
        <v>233</v>
      </c>
      <c r="C190" s="11" t="s">
        <v>214</v>
      </c>
      <c r="D190" s="11" t="s">
        <v>2276</v>
      </c>
      <c r="E190" s="11">
        <v>1</v>
      </c>
    </row>
    <row r="191" spans="1:5" ht="24.75">
      <c r="A191" s="11" t="s">
        <v>363</v>
      </c>
      <c r="B191" s="11" t="s">
        <v>233</v>
      </c>
      <c r="C191" s="11" t="s">
        <v>214</v>
      </c>
      <c r="D191" s="11" t="s">
        <v>2277</v>
      </c>
      <c r="E191" s="11">
        <v>1</v>
      </c>
    </row>
    <row r="192" spans="1:5" ht="24.75">
      <c r="A192" s="11" t="s">
        <v>363</v>
      </c>
      <c r="B192" s="11" t="s">
        <v>233</v>
      </c>
      <c r="C192" s="11" t="s">
        <v>214</v>
      </c>
      <c r="D192" s="11" t="s">
        <v>2278</v>
      </c>
      <c r="E192" s="11">
        <v>1</v>
      </c>
    </row>
    <row r="193" spans="1:5" ht="24.75">
      <c r="A193" s="11" t="s">
        <v>363</v>
      </c>
      <c r="B193" s="11" t="s">
        <v>233</v>
      </c>
      <c r="C193" s="11" t="s">
        <v>214</v>
      </c>
      <c r="D193" s="11" t="s">
        <v>2279</v>
      </c>
      <c r="E193" s="11">
        <v>1</v>
      </c>
    </row>
    <row r="194" spans="1:5" ht="24.75">
      <c r="A194" s="11" t="s">
        <v>363</v>
      </c>
      <c r="B194" s="11" t="s">
        <v>233</v>
      </c>
      <c r="C194" s="11" t="s">
        <v>214</v>
      </c>
      <c r="D194" s="11" t="s">
        <v>2280</v>
      </c>
      <c r="E194" s="11">
        <v>1</v>
      </c>
    </row>
    <row r="195" spans="1:5" ht="24.75">
      <c r="A195" s="11" t="s">
        <v>363</v>
      </c>
      <c r="B195" s="11" t="s">
        <v>233</v>
      </c>
      <c r="C195" s="11" t="s">
        <v>214</v>
      </c>
      <c r="D195" s="11" t="s">
        <v>2281</v>
      </c>
      <c r="E195" s="11">
        <v>1</v>
      </c>
    </row>
    <row r="196" spans="1:5" ht="24.75">
      <c r="A196" s="11" t="s">
        <v>363</v>
      </c>
      <c r="B196" s="11" t="s">
        <v>233</v>
      </c>
      <c r="C196" s="11" t="s">
        <v>214</v>
      </c>
      <c r="D196" s="11" t="s">
        <v>2282</v>
      </c>
      <c r="E196" s="11">
        <v>1</v>
      </c>
    </row>
    <row r="197" spans="1:5" ht="24.75">
      <c r="A197" s="11" t="s">
        <v>363</v>
      </c>
      <c r="B197" s="11" t="s">
        <v>233</v>
      </c>
      <c r="C197" s="11" t="s">
        <v>214</v>
      </c>
      <c r="D197" s="11" t="s">
        <v>2283</v>
      </c>
      <c r="E197" s="11">
        <v>1</v>
      </c>
    </row>
    <row r="198" spans="1:5" ht="24.75">
      <c r="A198" s="11" t="s">
        <v>363</v>
      </c>
      <c r="B198" s="11" t="s">
        <v>233</v>
      </c>
      <c r="C198" s="11" t="s">
        <v>214</v>
      </c>
      <c r="D198" s="11" t="s">
        <v>2284</v>
      </c>
      <c r="E198" s="11">
        <v>1</v>
      </c>
    </row>
    <row r="199" spans="1:5" ht="24.75">
      <c r="A199" s="11" t="s">
        <v>363</v>
      </c>
      <c r="B199" s="11" t="s">
        <v>233</v>
      </c>
      <c r="C199" s="11" t="s">
        <v>214</v>
      </c>
      <c r="D199" s="11" t="s">
        <v>2285</v>
      </c>
      <c r="E199" s="11">
        <v>1</v>
      </c>
    </row>
    <row r="200" spans="1:5" ht="24.75">
      <c r="A200" s="11" t="s">
        <v>363</v>
      </c>
      <c r="B200" s="11" t="s">
        <v>233</v>
      </c>
      <c r="C200" s="11" t="s">
        <v>214</v>
      </c>
      <c r="D200" s="11" t="s">
        <v>2286</v>
      </c>
      <c r="E200" s="11">
        <v>1</v>
      </c>
    </row>
    <row r="201" spans="1:5" ht="24.75">
      <c r="A201" s="11" t="s">
        <v>363</v>
      </c>
      <c r="B201" s="11" t="s">
        <v>233</v>
      </c>
      <c r="C201" s="11" t="s">
        <v>214</v>
      </c>
      <c r="D201" s="11" t="s">
        <v>2287</v>
      </c>
      <c r="E201" s="11">
        <v>1</v>
      </c>
    </row>
    <row r="202" spans="1:5" ht="24.75">
      <c r="A202" s="11" t="s">
        <v>363</v>
      </c>
      <c r="B202" s="11" t="s">
        <v>233</v>
      </c>
      <c r="C202" s="11" t="s">
        <v>214</v>
      </c>
      <c r="D202" s="11" t="s">
        <v>2288</v>
      </c>
      <c r="E202" s="11">
        <v>1</v>
      </c>
    </row>
    <row r="203" spans="1:5" ht="24.75">
      <c r="A203" s="11" t="s">
        <v>363</v>
      </c>
      <c r="B203" s="11" t="s">
        <v>233</v>
      </c>
      <c r="C203" s="11" t="s">
        <v>214</v>
      </c>
      <c r="D203" s="11" t="s">
        <v>2289</v>
      </c>
      <c r="E203" s="11">
        <v>1</v>
      </c>
    </row>
    <row r="204" spans="1:5" ht="24.75">
      <c r="A204" s="11" t="s">
        <v>363</v>
      </c>
      <c r="B204" s="11" t="s">
        <v>233</v>
      </c>
      <c r="C204" s="11" t="s">
        <v>214</v>
      </c>
      <c r="D204" s="11" t="s">
        <v>2290</v>
      </c>
      <c r="E204" s="11">
        <v>1</v>
      </c>
    </row>
    <row r="205" spans="1:5" ht="24.75">
      <c r="A205" s="11" t="s">
        <v>363</v>
      </c>
      <c r="B205" s="11" t="s">
        <v>233</v>
      </c>
      <c r="C205" s="11" t="s">
        <v>214</v>
      </c>
      <c r="D205" s="11" t="s">
        <v>2291</v>
      </c>
      <c r="E205" s="11">
        <v>1</v>
      </c>
    </row>
    <row r="206" spans="1:5" ht="24.75">
      <c r="A206" s="11" t="s">
        <v>363</v>
      </c>
      <c r="B206" s="11" t="s">
        <v>233</v>
      </c>
      <c r="C206" s="11" t="s">
        <v>214</v>
      </c>
      <c r="D206" s="11" t="s">
        <v>2292</v>
      </c>
      <c r="E206" s="11">
        <v>1</v>
      </c>
    </row>
    <row r="207" spans="1:5" ht="24.75">
      <c r="A207" s="11" t="s">
        <v>363</v>
      </c>
      <c r="B207" s="11" t="s">
        <v>233</v>
      </c>
      <c r="C207" s="11" t="s">
        <v>214</v>
      </c>
      <c r="D207" s="11" t="s">
        <v>2293</v>
      </c>
      <c r="E207" s="11">
        <v>1</v>
      </c>
    </row>
    <row r="208" spans="1:5" ht="24.75">
      <c r="A208" s="11" t="s">
        <v>363</v>
      </c>
      <c r="B208" s="11" t="s">
        <v>233</v>
      </c>
      <c r="C208" s="11" t="s">
        <v>214</v>
      </c>
      <c r="D208" s="11" t="s">
        <v>2294</v>
      </c>
      <c r="E208" s="11">
        <v>1</v>
      </c>
    </row>
    <row r="209" spans="1:5" ht="24.75">
      <c r="A209" s="11" t="s">
        <v>363</v>
      </c>
      <c r="B209" s="11" t="s">
        <v>233</v>
      </c>
      <c r="C209" s="11" t="s">
        <v>214</v>
      </c>
      <c r="D209" s="11" t="s">
        <v>2295</v>
      </c>
      <c r="E209" s="11">
        <v>1</v>
      </c>
    </row>
    <row r="210" spans="1:5" ht="24.75">
      <c r="A210" s="11" t="s">
        <v>363</v>
      </c>
      <c r="B210" s="11" t="s">
        <v>233</v>
      </c>
      <c r="C210" s="11" t="s">
        <v>214</v>
      </c>
      <c r="D210" s="11" t="s">
        <v>2296</v>
      </c>
      <c r="E210" s="11">
        <v>1</v>
      </c>
    </row>
    <row r="211" spans="1:5" ht="24.75">
      <c r="A211" s="11" t="s">
        <v>363</v>
      </c>
      <c r="B211" s="11" t="s">
        <v>233</v>
      </c>
      <c r="C211" s="11" t="s">
        <v>214</v>
      </c>
      <c r="D211" s="11" t="s">
        <v>2297</v>
      </c>
      <c r="E211" s="11">
        <v>1</v>
      </c>
    </row>
    <row r="212" spans="1:5" ht="24.75">
      <c r="A212" s="11" t="s">
        <v>363</v>
      </c>
      <c r="B212" s="11" t="s">
        <v>233</v>
      </c>
      <c r="C212" s="11" t="s">
        <v>214</v>
      </c>
      <c r="D212" s="11" t="s">
        <v>2298</v>
      </c>
      <c r="E212" s="11">
        <v>1</v>
      </c>
    </row>
    <row r="213" spans="1:5" ht="24.75">
      <c r="A213" s="11" t="s">
        <v>363</v>
      </c>
      <c r="B213" s="11" t="s">
        <v>233</v>
      </c>
      <c r="C213" s="11" t="s">
        <v>214</v>
      </c>
      <c r="D213" s="11" t="s">
        <v>2299</v>
      </c>
      <c r="E213" s="11">
        <v>1</v>
      </c>
    </row>
    <row r="214" spans="1:5" ht="24.75">
      <c r="A214" s="11" t="s">
        <v>363</v>
      </c>
      <c r="B214" s="11" t="s">
        <v>233</v>
      </c>
      <c r="C214" s="11" t="s">
        <v>214</v>
      </c>
      <c r="D214" s="11" t="s">
        <v>2300</v>
      </c>
      <c r="E214" s="11">
        <v>1</v>
      </c>
    </row>
    <row r="215" spans="1:5" ht="24.75">
      <c r="A215" s="11" t="s">
        <v>363</v>
      </c>
      <c r="B215" s="11" t="s">
        <v>233</v>
      </c>
      <c r="C215" s="11" t="s">
        <v>214</v>
      </c>
      <c r="D215" s="11" t="s">
        <v>2301</v>
      </c>
      <c r="E215" s="11">
        <v>1</v>
      </c>
    </row>
    <row r="216" spans="1:5" ht="24.75">
      <c r="A216" s="11" t="s">
        <v>363</v>
      </c>
      <c r="B216" s="11" t="s">
        <v>233</v>
      </c>
      <c r="C216" s="11" t="s">
        <v>214</v>
      </c>
      <c r="D216" s="11" t="s">
        <v>2302</v>
      </c>
      <c r="E216" s="11">
        <v>1</v>
      </c>
    </row>
    <row r="217" spans="1:5" ht="24.75">
      <c r="A217" s="11" t="s">
        <v>363</v>
      </c>
      <c r="B217" s="11" t="s">
        <v>233</v>
      </c>
      <c r="C217" s="11" t="s">
        <v>214</v>
      </c>
      <c r="D217" s="11" t="s">
        <v>2303</v>
      </c>
      <c r="E217" s="11">
        <v>1</v>
      </c>
    </row>
    <row r="218" spans="1:5" ht="24.75">
      <c r="A218" s="11" t="s">
        <v>363</v>
      </c>
      <c r="B218" s="11" t="s">
        <v>233</v>
      </c>
      <c r="C218" s="11" t="s">
        <v>214</v>
      </c>
      <c r="D218" s="11" t="s">
        <v>2304</v>
      </c>
      <c r="E218" s="11">
        <v>1</v>
      </c>
    </row>
    <row r="219" spans="1:5" ht="24.75">
      <c r="A219" s="11" t="s">
        <v>363</v>
      </c>
      <c r="B219" s="11" t="s">
        <v>233</v>
      </c>
      <c r="C219" s="11" t="s">
        <v>214</v>
      </c>
      <c r="D219" s="11" t="s">
        <v>2305</v>
      </c>
      <c r="E219" s="11">
        <v>1</v>
      </c>
    </row>
    <row r="220" spans="1:5" ht="24.75">
      <c r="A220" s="11" t="s">
        <v>363</v>
      </c>
      <c r="B220" s="11" t="s">
        <v>233</v>
      </c>
      <c r="C220" s="11" t="s">
        <v>214</v>
      </c>
      <c r="D220" s="11" t="s">
        <v>2306</v>
      </c>
      <c r="E220" s="11">
        <v>1</v>
      </c>
    </row>
    <row r="221" spans="1:5" ht="24.75">
      <c r="A221" s="11" t="s">
        <v>363</v>
      </c>
      <c r="B221" s="11" t="s">
        <v>233</v>
      </c>
      <c r="C221" s="11" t="s">
        <v>214</v>
      </c>
      <c r="D221" s="11" t="s">
        <v>2307</v>
      </c>
      <c r="E221" s="11">
        <v>1</v>
      </c>
    </row>
    <row r="222" spans="1:5" ht="24.75">
      <c r="A222" s="11" t="s">
        <v>363</v>
      </c>
      <c r="B222" s="11" t="s">
        <v>233</v>
      </c>
      <c r="C222" s="11" t="s">
        <v>214</v>
      </c>
      <c r="D222" s="11" t="s">
        <v>2308</v>
      </c>
      <c r="E222" s="11">
        <v>1</v>
      </c>
    </row>
    <row r="223" spans="1:5" ht="24.75">
      <c r="A223" s="11" t="s">
        <v>363</v>
      </c>
      <c r="B223" s="11" t="s">
        <v>233</v>
      </c>
      <c r="C223" s="11" t="s">
        <v>214</v>
      </c>
      <c r="D223" s="11" t="s">
        <v>2309</v>
      </c>
      <c r="E223" s="11">
        <v>1</v>
      </c>
    </row>
    <row r="224" spans="1:5" ht="24.75">
      <c r="A224" s="11" t="s">
        <v>363</v>
      </c>
      <c r="B224" s="11" t="s">
        <v>233</v>
      </c>
      <c r="C224" s="11" t="s">
        <v>214</v>
      </c>
      <c r="D224" s="11" t="s">
        <v>2310</v>
      </c>
      <c r="E224" s="11">
        <v>1</v>
      </c>
    </row>
    <row r="225" spans="1:5" ht="24.75">
      <c r="A225" s="11" t="s">
        <v>363</v>
      </c>
      <c r="B225" s="11" t="s">
        <v>233</v>
      </c>
      <c r="C225" s="11" t="s">
        <v>214</v>
      </c>
      <c r="D225" s="11" t="s">
        <v>2311</v>
      </c>
      <c r="E225" s="11">
        <v>1</v>
      </c>
    </row>
    <row r="226" spans="1:5" ht="24.75">
      <c r="A226" s="11" t="s">
        <v>363</v>
      </c>
      <c r="B226" s="11" t="s">
        <v>233</v>
      </c>
      <c r="C226" s="11" t="s">
        <v>214</v>
      </c>
      <c r="D226" s="11" t="s">
        <v>2312</v>
      </c>
      <c r="E226" s="11">
        <v>1</v>
      </c>
    </row>
    <row r="227" spans="1:5" ht="24.75">
      <c r="A227" s="11" t="s">
        <v>363</v>
      </c>
      <c r="B227" s="11" t="s">
        <v>233</v>
      </c>
      <c r="C227" s="11" t="s">
        <v>214</v>
      </c>
      <c r="D227" s="11" t="s">
        <v>2313</v>
      </c>
      <c r="E227" s="11">
        <v>1</v>
      </c>
    </row>
    <row r="228" spans="1:5" ht="24.75">
      <c r="A228" s="11" t="s">
        <v>363</v>
      </c>
      <c r="B228" s="11" t="s">
        <v>233</v>
      </c>
      <c r="C228" s="11" t="s">
        <v>214</v>
      </c>
      <c r="D228" s="11" t="s">
        <v>2314</v>
      </c>
      <c r="E228" s="11">
        <v>1</v>
      </c>
    </row>
    <row r="229" spans="1:5" ht="24.75">
      <c r="A229" s="11" t="s">
        <v>363</v>
      </c>
      <c r="B229" s="11" t="s">
        <v>233</v>
      </c>
      <c r="C229" s="11" t="s">
        <v>214</v>
      </c>
      <c r="D229" s="11" t="s">
        <v>2315</v>
      </c>
      <c r="E229" s="11">
        <v>1</v>
      </c>
    </row>
    <row r="230" spans="1:5" ht="24.75">
      <c r="A230" s="11" t="s">
        <v>363</v>
      </c>
      <c r="B230" s="11" t="s">
        <v>233</v>
      </c>
      <c r="C230" s="11" t="s">
        <v>214</v>
      </c>
      <c r="D230" s="11" t="s">
        <v>2316</v>
      </c>
      <c r="E230" s="11">
        <v>1</v>
      </c>
    </row>
    <row r="231" spans="1:5" ht="24.75">
      <c r="A231" s="11" t="s">
        <v>363</v>
      </c>
      <c r="B231" s="11" t="s">
        <v>233</v>
      </c>
      <c r="C231" s="11" t="s">
        <v>214</v>
      </c>
      <c r="D231" s="11" t="s">
        <v>2317</v>
      </c>
      <c r="E231" s="11">
        <v>1</v>
      </c>
    </row>
    <row r="232" spans="1:5" ht="24.75">
      <c r="A232" s="11" t="s">
        <v>363</v>
      </c>
      <c r="B232" s="11" t="s">
        <v>233</v>
      </c>
      <c r="C232" s="11" t="s">
        <v>214</v>
      </c>
      <c r="D232" s="11" t="s">
        <v>2318</v>
      </c>
      <c r="E232" s="11">
        <v>1</v>
      </c>
    </row>
    <row r="233" spans="1:5" ht="24.75">
      <c r="A233" s="11" t="s">
        <v>363</v>
      </c>
      <c r="B233" s="11" t="s">
        <v>233</v>
      </c>
      <c r="C233" s="11" t="s">
        <v>214</v>
      </c>
      <c r="D233" s="11" t="s">
        <v>2319</v>
      </c>
      <c r="E233" s="11">
        <v>1</v>
      </c>
    </row>
    <row r="234" spans="1:5" ht="24.75">
      <c r="A234" s="11" t="s">
        <v>363</v>
      </c>
      <c r="B234" s="11" t="s">
        <v>233</v>
      </c>
      <c r="C234" s="11" t="s">
        <v>214</v>
      </c>
      <c r="D234" s="11" t="s">
        <v>2320</v>
      </c>
      <c r="E234" s="11">
        <v>1</v>
      </c>
    </row>
    <row r="235" spans="1:5" ht="24.75">
      <c r="A235" s="11" t="s">
        <v>363</v>
      </c>
      <c r="B235" s="11" t="s">
        <v>233</v>
      </c>
      <c r="C235" s="11" t="s">
        <v>214</v>
      </c>
      <c r="D235" s="11" t="s">
        <v>2321</v>
      </c>
      <c r="E235" s="11">
        <v>1</v>
      </c>
    </row>
    <row r="236" spans="1:5" ht="24.75">
      <c r="A236" s="11" t="s">
        <v>363</v>
      </c>
      <c r="B236" s="11" t="s">
        <v>233</v>
      </c>
      <c r="C236" s="11" t="s">
        <v>214</v>
      </c>
      <c r="D236" s="11" t="s">
        <v>2322</v>
      </c>
      <c r="E236" s="11">
        <v>1</v>
      </c>
    </row>
    <row r="237" spans="1:5" ht="24.75">
      <c r="A237" s="11" t="s">
        <v>363</v>
      </c>
      <c r="B237" s="11" t="s">
        <v>233</v>
      </c>
      <c r="C237" s="11" t="s">
        <v>214</v>
      </c>
      <c r="D237" s="11" t="s">
        <v>2323</v>
      </c>
      <c r="E237" s="11">
        <v>1</v>
      </c>
    </row>
    <row r="238" spans="1:5" ht="24.75">
      <c r="A238" s="11" t="s">
        <v>363</v>
      </c>
      <c r="B238" s="11" t="s">
        <v>233</v>
      </c>
      <c r="C238" s="11" t="s">
        <v>214</v>
      </c>
      <c r="D238" s="11" t="s">
        <v>2324</v>
      </c>
      <c r="E238" s="11">
        <v>1</v>
      </c>
    </row>
    <row r="239" spans="1:5" ht="24.75">
      <c r="A239" s="11" t="s">
        <v>363</v>
      </c>
      <c r="B239" s="11" t="s">
        <v>233</v>
      </c>
      <c r="C239" s="11" t="s">
        <v>214</v>
      </c>
      <c r="D239" s="11" t="s">
        <v>2325</v>
      </c>
      <c r="E239" s="11">
        <v>1</v>
      </c>
    </row>
    <row r="240" spans="1:5">
      <c r="A240" s="1" t="s">
        <v>207</v>
      </c>
      <c r="B240" s="1" t="s">
        <v>207</v>
      </c>
      <c r="C240" s="1">
        <f>SUBTOTAL(103,Elements132262[Elemento])</f>
        <v>122</v>
      </c>
      <c r="D240" s="1" t="s">
        <v>207</v>
      </c>
      <c r="E240" s="1">
        <f>SUBTOTAL(109,Elements132262[Totais:])</f>
        <v>122</v>
      </c>
    </row>
  </sheetData>
  <mergeCells count="6">
    <mergeCell ref="A116:E116"/>
    <mergeCell ref="A1:E2"/>
    <mergeCell ref="A4:E4"/>
    <mergeCell ref="A5:E5"/>
    <mergeCell ref="A112:E113"/>
    <mergeCell ref="A115:E115"/>
  </mergeCells>
  <hyperlinks>
    <hyperlink ref="A1" location="'13.2.26'!A1" display="ADAPTADOR SOLDAVEL CURTO COM BOLSA E ROSCA PARA REGISTRO,COM DIAMETRO DE 25MMX3/4&amp;quot;.FORNECIMENTO" xr:uid="{00000000-0004-0000-4D00-000000000000}"/>
    <hyperlink ref="B1" location="'13.2.26'!A1" display="ADAPTADOR SOLDAVEL CURTO COM BOLSA E ROSCA PARA REGISTRO,COM DIAMETRO DE 25MMX3/4&amp;quot;.FORNECIMENTO" xr:uid="{00000000-0004-0000-4D00-000001000000}"/>
    <hyperlink ref="C1" location="'13.2.26'!A1" display="ADAPTADOR SOLDAVEL CURTO COM BOLSA E ROSCA PARA REGISTRO,COM DIAMETRO DE 25MMX3/4&amp;quot;.FORNECIMENTO" xr:uid="{00000000-0004-0000-4D00-000002000000}"/>
    <hyperlink ref="D1" location="'13.2.26'!A1" display="ADAPTADOR SOLDAVEL CURTO COM BOLSA E ROSCA PARA REGISTRO,COM DIAMETRO DE 25MMX3/4&amp;quot;.FORNECIMENTO" xr:uid="{00000000-0004-0000-4D00-000003000000}"/>
    <hyperlink ref="E1" location="'13.2.26'!A1" display="ADAPTADOR SOLDAVEL CURTO COM BOLSA E ROSCA PARA REGISTRO,COM DIAMETRO DE 25MMX3/4&amp;quot;.FORNECIMENTO" xr:uid="{00000000-0004-0000-4D00-000004000000}"/>
    <hyperlink ref="A2" location="'13.2.26'!A1" display="ADAPTADOR SOLDAVEL CURTO COM BOLSA E ROSCA PARA REGISTRO,COM DIAMETRO DE 25MMX3/4&amp;quot;.FORNECIMENTO" xr:uid="{00000000-0004-0000-4D00-000005000000}"/>
    <hyperlink ref="B2" location="'13.2.26'!A1" display="ADAPTADOR SOLDAVEL CURTO COM BOLSA E ROSCA PARA REGISTRO,COM DIAMETRO DE 25MMX3/4&amp;quot;.FORNECIMENTO" xr:uid="{00000000-0004-0000-4D00-000006000000}"/>
    <hyperlink ref="C2" location="'13.2.26'!A1" display="ADAPTADOR SOLDAVEL CURTO COM BOLSA E ROSCA PARA REGISTRO,COM DIAMETRO DE 25MMX3/4&amp;quot;.FORNECIMENTO" xr:uid="{00000000-0004-0000-4D00-000007000000}"/>
    <hyperlink ref="D2" location="'13.2.26'!A1" display="ADAPTADOR SOLDAVEL CURTO COM BOLSA E ROSCA PARA REGISTRO,COM DIAMETRO DE 25MMX3/4&amp;quot;.FORNECIMENTO" xr:uid="{00000000-0004-0000-4D00-000008000000}"/>
    <hyperlink ref="E2" location="'13.2.26'!A1" display="ADAPTADOR SOLDAVEL CURTO COM BOLSA E ROSCA PARA REGISTRO,COM DIAMETRO DE 25MMX3/4&amp;quot;.FORNECIMENTO" xr:uid="{00000000-0004-0000-4D00-000009000000}"/>
    <hyperlink ref="A4" location="'13.2.26'!A1" display="Conexões de tubo (Afastamento)" xr:uid="{00000000-0004-0000-4D00-00000A000000}"/>
    <hyperlink ref="B4" location="'13.2.26'!A1" display="Conexões de tubo (Afastamento)" xr:uid="{00000000-0004-0000-4D00-00000B000000}"/>
    <hyperlink ref="C4" location="'13.2.26'!A1" display="Conexões de tubo (Afastamento)" xr:uid="{00000000-0004-0000-4D00-00000C000000}"/>
    <hyperlink ref="D4" location="'13.2.26'!A1" display="Conexões de tubo (Afastamento)" xr:uid="{00000000-0004-0000-4D00-00000D000000}"/>
    <hyperlink ref="E4" location="'13.2.26'!A1" display="Conexões de tubo (Afastamento)" xr:uid="{00000000-0004-0000-4D00-00000E000000}"/>
    <hyperlink ref="A112" location="'13.2.26'!A1" display="ADAPTADOR SOLDAVEL CURTO COM BOLSA E ROSCA PARA REGISTRO,COM DIAMETRO DE 25MMX3/4&amp;quot;.FORNECIMENTO" xr:uid="{00000000-0004-0000-4D00-00000F000000}"/>
    <hyperlink ref="B112" location="'13.2.26'!A1" display="ADAPTADOR SOLDAVEL CURTO COM BOLSA E ROSCA PARA REGISTRO,COM DIAMETRO DE 25MMX3/4&amp;quot;.FORNECIMENTO" xr:uid="{00000000-0004-0000-4D00-000010000000}"/>
    <hyperlink ref="C112" location="'13.2.26'!A1" display="ADAPTADOR SOLDAVEL CURTO COM BOLSA E ROSCA PARA REGISTRO,COM DIAMETRO DE 25MMX3/4&amp;quot;.FORNECIMENTO" xr:uid="{00000000-0004-0000-4D00-000011000000}"/>
    <hyperlink ref="D112" location="'13.2.26'!A1" display="ADAPTADOR SOLDAVEL CURTO COM BOLSA E ROSCA PARA REGISTRO,COM DIAMETRO DE 25MMX3/4&amp;quot;.FORNECIMENTO" xr:uid="{00000000-0004-0000-4D00-000012000000}"/>
    <hyperlink ref="E112" location="'13.2.26'!A1" display="ADAPTADOR SOLDAVEL CURTO COM BOLSA E ROSCA PARA REGISTRO,COM DIAMETRO DE 25MMX3/4&amp;quot;.FORNECIMENTO" xr:uid="{00000000-0004-0000-4D00-000013000000}"/>
    <hyperlink ref="A113" location="'13.2.26'!A1" display="ADAPTADOR SOLDAVEL CURTO COM BOLSA E ROSCA PARA REGISTRO,COM DIAMETRO DE 25MMX3/4&amp;quot;.FORNECIMENTO" xr:uid="{00000000-0004-0000-4D00-000014000000}"/>
    <hyperlink ref="B113" location="'13.2.26'!A1" display="ADAPTADOR SOLDAVEL CURTO COM BOLSA E ROSCA PARA REGISTRO,COM DIAMETRO DE 25MMX3/4&amp;quot;.FORNECIMENTO" xr:uid="{00000000-0004-0000-4D00-000015000000}"/>
    <hyperlink ref="C113" location="'13.2.26'!A1" display="ADAPTADOR SOLDAVEL CURTO COM BOLSA E ROSCA PARA REGISTRO,COM DIAMETRO DE 25MMX3/4&amp;quot;.FORNECIMENTO" xr:uid="{00000000-0004-0000-4D00-000016000000}"/>
    <hyperlink ref="D113" location="'13.2.26'!A1" display="ADAPTADOR SOLDAVEL CURTO COM BOLSA E ROSCA PARA REGISTRO,COM DIAMETRO DE 25MMX3/4&amp;quot;.FORNECIMENTO" xr:uid="{00000000-0004-0000-4D00-000017000000}"/>
    <hyperlink ref="E113" location="'13.2.26'!A1" display="ADAPTADOR SOLDAVEL CURTO COM BOLSA E ROSCA PARA REGISTRO,COM DIAMETRO DE 25MMX3/4&amp;quot;.FORNECIMENTO" xr:uid="{00000000-0004-0000-4D00-000018000000}"/>
    <hyperlink ref="A115" location="'13.2.26'!A1" display="Conexões de tubo (Afastamento)" xr:uid="{00000000-0004-0000-4D00-000019000000}"/>
    <hyperlink ref="B115" location="'13.2.26'!A1" display="Conexões de tubo (Afastamento)" xr:uid="{00000000-0004-0000-4D00-00001A000000}"/>
    <hyperlink ref="C115" location="'13.2.26'!A1" display="Conexões de tubo (Afastamento)" xr:uid="{00000000-0004-0000-4D00-00001B000000}"/>
    <hyperlink ref="D115" location="'13.2.26'!A1" display="Conexões de tubo (Afastamento)" xr:uid="{00000000-0004-0000-4D00-00001C000000}"/>
    <hyperlink ref="E115" location="'13.2.26'!A1" display="Conexões de tubo (Afastamento)" xr:uid="{00000000-0004-0000-4D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E00-000000000000}">
  <dimension ref="A1:E13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118</v>
      </c>
      <c r="B1" s="23" t="s">
        <v>118</v>
      </c>
      <c r="C1" s="23" t="s">
        <v>118</v>
      </c>
      <c r="D1" s="23" t="s">
        <v>118</v>
      </c>
      <c r="E1" s="23" t="s">
        <v>118</v>
      </c>
    </row>
    <row r="2" spans="1:5">
      <c r="A2" s="23" t="s">
        <v>118</v>
      </c>
      <c r="B2" s="23" t="s">
        <v>118</v>
      </c>
      <c r="C2" s="23" t="s">
        <v>118</v>
      </c>
      <c r="D2" s="23" t="s">
        <v>118</v>
      </c>
      <c r="E2" s="23" t="s">
        <v>118</v>
      </c>
    </row>
    <row r="4" spans="1:5">
      <c r="A4" s="18" t="s">
        <v>206</v>
      </c>
      <c r="B4" s="18" t="s">
        <v>206</v>
      </c>
      <c r="C4" s="18" t="s">
        <v>206</v>
      </c>
      <c r="D4" s="18" t="s">
        <v>206</v>
      </c>
      <c r="E4" s="18" t="s">
        <v>206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2326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2327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2328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2329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2330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2331</v>
      </c>
      <c r="E12" s="11">
        <v>1</v>
      </c>
    </row>
    <row r="13" spans="1:5">
      <c r="A13" s="1" t="s">
        <v>207</v>
      </c>
      <c r="B13" s="1" t="s">
        <v>207</v>
      </c>
      <c r="C13" s="1">
        <f>SUBTOTAL(103,Elements132271[Elemento])</f>
        <v>6</v>
      </c>
      <c r="D13" s="1" t="s">
        <v>207</v>
      </c>
      <c r="E13" s="1">
        <f>SUBTOTAL(109,Elements132271[Totais:])</f>
        <v>6</v>
      </c>
    </row>
  </sheetData>
  <mergeCells count="3">
    <mergeCell ref="A1:E2"/>
    <mergeCell ref="A4:E4"/>
    <mergeCell ref="A5:E5"/>
  </mergeCells>
  <hyperlinks>
    <hyperlink ref="A1" location="'13.2.27'!A1" display="ADAPTADOR SOLDAVEL CURTO COM BOLSA E ROSCA PARA REGISTRO,COM DIAMETRO DE 50MMX1.1/2”.FORNECIMENTO" xr:uid="{00000000-0004-0000-4E00-000000000000}"/>
    <hyperlink ref="B1" location="'13.2.27'!A1" display="ADAPTADOR SOLDAVEL CURTO COM BOLSA E ROSCA PARA REGISTRO,COM DIAMETRO DE 50MMX1.1/2”.FORNECIMENTO" xr:uid="{00000000-0004-0000-4E00-000001000000}"/>
    <hyperlink ref="C1" location="'13.2.27'!A1" display="ADAPTADOR SOLDAVEL CURTO COM BOLSA E ROSCA PARA REGISTRO,COM DIAMETRO DE 50MMX1.1/2”.FORNECIMENTO" xr:uid="{00000000-0004-0000-4E00-000002000000}"/>
    <hyperlink ref="D1" location="'13.2.27'!A1" display="ADAPTADOR SOLDAVEL CURTO COM BOLSA E ROSCA PARA REGISTRO,COM DIAMETRO DE 50MMX1.1/2”.FORNECIMENTO" xr:uid="{00000000-0004-0000-4E00-000003000000}"/>
    <hyperlink ref="E1" location="'13.2.27'!A1" display="ADAPTADOR SOLDAVEL CURTO COM BOLSA E ROSCA PARA REGISTRO,COM DIAMETRO DE 50MMX1.1/2”.FORNECIMENTO" xr:uid="{00000000-0004-0000-4E00-000004000000}"/>
    <hyperlink ref="A2" location="'13.2.27'!A1" display="ADAPTADOR SOLDAVEL CURTO COM BOLSA E ROSCA PARA REGISTRO,COM DIAMETRO DE 50MMX1.1/2”.FORNECIMENTO" xr:uid="{00000000-0004-0000-4E00-000005000000}"/>
    <hyperlink ref="B2" location="'13.2.27'!A1" display="ADAPTADOR SOLDAVEL CURTO COM BOLSA E ROSCA PARA REGISTRO,COM DIAMETRO DE 50MMX1.1/2”.FORNECIMENTO" xr:uid="{00000000-0004-0000-4E00-000006000000}"/>
    <hyperlink ref="C2" location="'13.2.27'!A1" display="ADAPTADOR SOLDAVEL CURTO COM BOLSA E ROSCA PARA REGISTRO,COM DIAMETRO DE 50MMX1.1/2”.FORNECIMENTO" xr:uid="{00000000-0004-0000-4E00-000007000000}"/>
    <hyperlink ref="D2" location="'13.2.27'!A1" display="ADAPTADOR SOLDAVEL CURTO COM BOLSA E ROSCA PARA REGISTRO,COM DIAMETRO DE 50MMX1.1/2”.FORNECIMENTO" xr:uid="{00000000-0004-0000-4E00-000008000000}"/>
    <hyperlink ref="E2" location="'13.2.27'!A1" display="ADAPTADOR SOLDAVEL CURTO COM BOLSA E ROSCA PARA REGISTRO,COM DIAMETRO DE 50MMX1.1/2”.FORNECIMENTO" xr:uid="{00000000-0004-0000-4E00-000009000000}"/>
    <hyperlink ref="A4" location="'13.2.27'!A1" display="Conexões de tubo (Afastamento)" xr:uid="{00000000-0004-0000-4E00-00000A000000}"/>
    <hyperlink ref="B4" location="'13.2.27'!A1" display="Conexões de tubo (Afastamento)" xr:uid="{00000000-0004-0000-4E00-00000B000000}"/>
    <hyperlink ref="C4" location="'13.2.27'!A1" display="Conexões de tubo (Afastamento)" xr:uid="{00000000-0004-0000-4E00-00000C000000}"/>
    <hyperlink ref="D4" location="'13.2.27'!A1" display="Conexões de tubo (Afastamento)" xr:uid="{00000000-0004-0000-4E00-00000D000000}"/>
    <hyperlink ref="E4" location="'13.2.27'!A1" display="Conexões de tubo (Afastamento)" xr:uid="{00000000-0004-0000-4E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34</v>
      </c>
      <c r="B2" s="6" t="s">
        <v>35</v>
      </c>
      <c r="C2" s="6" t="s">
        <v>36</v>
      </c>
      <c r="D2" s="6" t="s">
        <v>37</v>
      </c>
      <c r="E2" s="6" t="s">
        <v>16</v>
      </c>
      <c r="F2" s="6" t="s">
        <v>238</v>
      </c>
      <c r="G2" s="6">
        <v>18.73</v>
      </c>
      <c r="H2" s="6">
        <v>22.447905000000002</v>
      </c>
      <c r="I2" s="6">
        <v>2805.9881250000003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125</v>
      </c>
      <c r="D8" s="11" t="s">
        <v>239</v>
      </c>
      <c r="E8" s="11">
        <v>125</v>
      </c>
    </row>
    <row r="9" spans="1:9">
      <c r="A9" s="11" t="s">
        <v>207</v>
      </c>
      <c r="B9" s="11" t="s">
        <v>207</v>
      </c>
      <c r="C9" s="11">
        <f>SUBTOTAL(109,Criteria_Summary13.2.6[Elementos])</f>
        <v>125</v>
      </c>
      <c r="D9" s="11" t="s">
        <v>207</v>
      </c>
      <c r="E9" s="11">
        <f>SUBTOTAL(109,Criteria_Summary13.2.6[Total])</f>
        <v>125</v>
      </c>
    </row>
    <row r="10" spans="1:9">
      <c r="A10" s="12" t="s">
        <v>208</v>
      </c>
      <c r="B10" s="12">
        <v>0</v>
      </c>
      <c r="C10" s="13"/>
      <c r="D10" s="13"/>
      <c r="E10" s="12">
        <v>125</v>
      </c>
    </row>
    <row r="13" spans="1:9">
      <c r="A13" s="18" t="s">
        <v>239</v>
      </c>
      <c r="B13" s="18" t="s">
        <v>239</v>
      </c>
      <c r="C13" s="18" t="s">
        <v>239</v>
      </c>
      <c r="D13" s="18" t="s">
        <v>239</v>
      </c>
      <c r="E13" s="18" t="s">
        <v>239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125</v>
      </c>
      <c r="C16" s="21" t="s">
        <v>240</v>
      </c>
      <c r="D16" s="21" t="s">
        <v>240</v>
      </c>
      <c r="E16" s="11">
        <v>125</v>
      </c>
    </row>
    <row r="18" spans="1:5">
      <c r="A18" s="22" t="s">
        <v>211</v>
      </c>
      <c r="B18" s="22" t="s">
        <v>211</v>
      </c>
      <c r="C18" s="22" t="s">
        <v>211</v>
      </c>
      <c r="D18" s="22" t="s">
        <v>211</v>
      </c>
      <c r="E18" s="22" t="s">
        <v>211</v>
      </c>
    </row>
    <row r="19" spans="1:5">
      <c r="A19" s="20" t="s">
        <v>212</v>
      </c>
      <c r="B19" s="14"/>
      <c r="C19" s="14"/>
      <c r="D19" s="14" t="s">
        <v>202</v>
      </c>
      <c r="E19" s="14"/>
    </row>
    <row r="20" spans="1:5">
      <c r="A20" s="21" t="s">
        <v>241</v>
      </c>
      <c r="B20" s="21" t="s">
        <v>241</v>
      </c>
      <c r="C20" s="21" t="s">
        <v>241</v>
      </c>
      <c r="D20" s="11" t="s">
        <v>242</v>
      </c>
      <c r="E20" s="11" t="s">
        <v>215</v>
      </c>
    </row>
    <row r="22" spans="1:5">
      <c r="A22" s="22" t="s">
        <v>216</v>
      </c>
      <c r="B22" s="22" t="s">
        <v>216</v>
      </c>
      <c r="C22" s="22" t="s">
        <v>216</v>
      </c>
      <c r="D22" s="22" t="s">
        <v>216</v>
      </c>
      <c r="E22" s="22" t="s">
        <v>216</v>
      </c>
    </row>
    <row r="23" spans="1:5">
      <c r="A23" s="14" t="s">
        <v>202</v>
      </c>
      <c r="B23" s="14" t="s">
        <v>217</v>
      </c>
      <c r="C23" s="14" t="s">
        <v>218</v>
      </c>
      <c r="D23" s="14" t="s">
        <v>219</v>
      </c>
      <c r="E23" s="14"/>
    </row>
    <row r="24" spans="1:5" ht="48.75">
      <c r="A24" s="11" t="s">
        <v>202</v>
      </c>
      <c r="B24" s="11" t="s">
        <v>221</v>
      </c>
      <c r="C24" s="11" t="s">
        <v>243</v>
      </c>
      <c r="D24" s="11" t="s">
        <v>4</v>
      </c>
      <c r="E24" s="11" t="s">
        <v>224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2'!A1" display="13.2.6" xr:uid="{00000000-0004-0000-0700-000000000000}"/>
    <hyperlink ref="F2" location="'13.2.6E'!A1" display="125" xr:uid="{00000000-0004-0000-0700-000001000000}"/>
    <hyperlink ref="E10" location="'13.2.6E'!A1" display="'13.2.6E'!A1" xr:uid="{00000000-0004-0000-0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F00-000000000000}">
  <dimension ref="A1:E1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121</v>
      </c>
      <c r="B1" s="23" t="s">
        <v>121</v>
      </c>
      <c r="C1" s="23" t="s">
        <v>121</v>
      </c>
      <c r="D1" s="23" t="s">
        <v>121</v>
      </c>
      <c r="E1" s="23" t="s">
        <v>121</v>
      </c>
    </row>
    <row r="2" spans="1:5">
      <c r="A2" s="23" t="s">
        <v>121</v>
      </c>
      <c r="B2" s="23" t="s">
        <v>121</v>
      </c>
      <c r="C2" s="23" t="s">
        <v>121</v>
      </c>
      <c r="D2" s="23" t="s">
        <v>121</v>
      </c>
      <c r="E2" s="23" t="s">
        <v>121</v>
      </c>
    </row>
    <row r="4" spans="1:5">
      <c r="A4" s="18" t="s">
        <v>206</v>
      </c>
      <c r="B4" s="18" t="s">
        <v>206</v>
      </c>
      <c r="C4" s="18" t="s">
        <v>206</v>
      </c>
      <c r="D4" s="18" t="s">
        <v>206</v>
      </c>
      <c r="E4" s="18" t="s">
        <v>206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2332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2333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2334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2335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2336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2337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214</v>
      </c>
      <c r="D13" s="11" t="s">
        <v>2338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214</v>
      </c>
      <c r="D14" s="11" t="s">
        <v>2339</v>
      </c>
      <c r="E14" s="11">
        <v>1</v>
      </c>
    </row>
    <row r="15" spans="1:5">
      <c r="A15" s="1" t="s">
        <v>207</v>
      </c>
      <c r="B15" s="1" t="s">
        <v>207</v>
      </c>
      <c r="C15" s="1">
        <f>SUBTOTAL(103,Elements132281[Elemento])</f>
        <v>8</v>
      </c>
      <c r="D15" s="1" t="s">
        <v>207</v>
      </c>
      <c r="E15" s="1">
        <f>SUBTOTAL(109,Elements132281[Totais:])</f>
        <v>8</v>
      </c>
    </row>
  </sheetData>
  <mergeCells count="3">
    <mergeCell ref="A1:E2"/>
    <mergeCell ref="A4:E4"/>
    <mergeCell ref="A5:E5"/>
  </mergeCells>
  <hyperlinks>
    <hyperlink ref="A1" location="'13.2.28'!A1" display="BUCHA DE REDUCAO SOLDAVEL LONGA,COM DIAMETRO DE 60MMX32MM.FO RNECIMENTO" xr:uid="{00000000-0004-0000-4F00-000000000000}"/>
    <hyperlink ref="B1" location="'13.2.28'!A1" display="BUCHA DE REDUCAO SOLDAVEL LONGA,COM DIAMETRO DE 60MMX32MM.FO RNECIMENTO" xr:uid="{00000000-0004-0000-4F00-000001000000}"/>
    <hyperlink ref="C1" location="'13.2.28'!A1" display="BUCHA DE REDUCAO SOLDAVEL LONGA,COM DIAMETRO DE 60MMX32MM.FO RNECIMENTO" xr:uid="{00000000-0004-0000-4F00-000002000000}"/>
    <hyperlink ref="D1" location="'13.2.28'!A1" display="BUCHA DE REDUCAO SOLDAVEL LONGA,COM DIAMETRO DE 60MMX32MM.FO RNECIMENTO" xr:uid="{00000000-0004-0000-4F00-000003000000}"/>
    <hyperlink ref="E1" location="'13.2.28'!A1" display="BUCHA DE REDUCAO SOLDAVEL LONGA,COM DIAMETRO DE 60MMX32MM.FO RNECIMENTO" xr:uid="{00000000-0004-0000-4F00-000004000000}"/>
    <hyperlink ref="A2" location="'13.2.28'!A1" display="BUCHA DE REDUCAO SOLDAVEL LONGA,COM DIAMETRO DE 60MMX32MM.FO RNECIMENTO" xr:uid="{00000000-0004-0000-4F00-000005000000}"/>
    <hyperlink ref="B2" location="'13.2.28'!A1" display="BUCHA DE REDUCAO SOLDAVEL LONGA,COM DIAMETRO DE 60MMX32MM.FO RNECIMENTO" xr:uid="{00000000-0004-0000-4F00-000006000000}"/>
    <hyperlink ref="C2" location="'13.2.28'!A1" display="BUCHA DE REDUCAO SOLDAVEL LONGA,COM DIAMETRO DE 60MMX32MM.FO RNECIMENTO" xr:uid="{00000000-0004-0000-4F00-000007000000}"/>
    <hyperlink ref="D2" location="'13.2.28'!A1" display="BUCHA DE REDUCAO SOLDAVEL LONGA,COM DIAMETRO DE 60MMX32MM.FO RNECIMENTO" xr:uid="{00000000-0004-0000-4F00-000008000000}"/>
    <hyperlink ref="E2" location="'13.2.28'!A1" display="BUCHA DE REDUCAO SOLDAVEL LONGA,COM DIAMETRO DE 60MMX32MM.FO RNECIMENTO" xr:uid="{00000000-0004-0000-4F00-000009000000}"/>
    <hyperlink ref="A4" location="'13.2.28'!A1" display="Conexões de tubo (Afastamento)" xr:uid="{00000000-0004-0000-4F00-00000A000000}"/>
    <hyperlink ref="B4" location="'13.2.28'!A1" display="Conexões de tubo (Afastamento)" xr:uid="{00000000-0004-0000-4F00-00000B000000}"/>
    <hyperlink ref="C4" location="'13.2.28'!A1" display="Conexões de tubo (Afastamento)" xr:uid="{00000000-0004-0000-4F00-00000C000000}"/>
    <hyperlink ref="D4" location="'13.2.28'!A1" display="Conexões de tubo (Afastamento)" xr:uid="{00000000-0004-0000-4F00-00000D000000}"/>
    <hyperlink ref="E4" location="'13.2.28'!A1" display="Conexões de tubo (Afastamento)" xr:uid="{00000000-0004-0000-4F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000-000000000000}">
  <dimension ref="A1:E17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124</v>
      </c>
      <c r="B1" s="23" t="s">
        <v>124</v>
      </c>
      <c r="C1" s="23" t="s">
        <v>124</v>
      </c>
      <c r="D1" s="23" t="s">
        <v>124</v>
      </c>
      <c r="E1" s="23" t="s">
        <v>124</v>
      </c>
    </row>
    <row r="2" spans="1:5">
      <c r="A2" s="23" t="s">
        <v>124</v>
      </c>
      <c r="B2" s="23" t="s">
        <v>124</v>
      </c>
      <c r="C2" s="23" t="s">
        <v>124</v>
      </c>
      <c r="D2" s="23" t="s">
        <v>124</v>
      </c>
      <c r="E2" s="23" t="s">
        <v>124</v>
      </c>
    </row>
    <row r="4" spans="1:5">
      <c r="A4" s="18" t="s">
        <v>280</v>
      </c>
      <c r="B4" s="18" t="s">
        <v>280</v>
      </c>
      <c r="C4" s="18" t="s">
        <v>280</v>
      </c>
      <c r="D4" s="18" t="s">
        <v>280</v>
      </c>
      <c r="E4" s="18" t="s">
        <v>280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314</v>
      </c>
      <c r="D7" s="11" t="s">
        <v>2340</v>
      </c>
      <c r="E7" s="11">
        <v>1</v>
      </c>
    </row>
    <row r="8" spans="1:5" ht="24.75">
      <c r="A8" s="11" t="s">
        <v>363</v>
      </c>
      <c r="B8" s="11" t="s">
        <v>233</v>
      </c>
      <c r="C8" s="11" t="s">
        <v>314</v>
      </c>
      <c r="D8" s="11" t="s">
        <v>2341</v>
      </c>
      <c r="E8" s="11">
        <v>1</v>
      </c>
    </row>
    <row r="9" spans="1:5" ht="24.75">
      <c r="A9" s="11" t="s">
        <v>363</v>
      </c>
      <c r="B9" s="11" t="s">
        <v>233</v>
      </c>
      <c r="C9" s="11" t="s">
        <v>314</v>
      </c>
      <c r="D9" s="11" t="s">
        <v>2342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314</v>
      </c>
      <c r="D10" s="11" t="s">
        <v>2343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314</v>
      </c>
      <c r="D11" s="11" t="s">
        <v>2344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314</v>
      </c>
      <c r="D12" s="11" t="s">
        <v>2345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314</v>
      </c>
      <c r="D13" s="11" t="s">
        <v>2346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314</v>
      </c>
      <c r="D14" s="11" t="s">
        <v>2347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314</v>
      </c>
      <c r="D15" s="11" t="s">
        <v>2348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314</v>
      </c>
      <c r="D16" s="11" t="s">
        <v>2349</v>
      </c>
      <c r="E16" s="11">
        <v>1</v>
      </c>
    </row>
    <row r="17" spans="1:5">
      <c r="A17" s="1" t="s">
        <v>207</v>
      </c>
      <c r="B17" s="1" t="s">
        <v>207</v>
      </c>
      <c r="C17" s="1">
        <f>SUBTOTAL(103,Elements132291[Elemento])</f>
        <v>10</v>
      </c>
      <c r="D17" s="1" t="s">
        <v>207</v>
      </c>
      <c r="E17" s="1">
        <f>SUBTOTAL(109,Elements132291[Totais:])</f>
        <v>10</v>
      </c>
    </row>
  </sheetData>
  <mergeCells count="3">
    <mergeCell ref="A1:E2"/>
    <mergeCell ref="A4:E4"/>
    <mergeCell ref="A5:E5"/>
  </mergeCells>
  <hyperlinks>
    <hyperlink ref="A1" location="'13.2.29'!A1" display="RESERVATORIO APOIADO PARA ARMAZENAMENTO DE AGUA POTAVEL OU P ARA APROVEITAMENTO DE AGUA DA CHUVA AAC,EM FIBRA DE VIDRO OU POLIETILENO,COM CAPACIDADE EM TORNO DE 3000L,INCLUSIVE TAMP A DE VEDACAO COM ESCOTILHA E FIXADORES,CONFORME ABNT NBR 155 27,12217 E 8" xr:uid="{00000000-0004-0000-5000-000000000000}"/>
    <hyperlink ref="B1" location="'13.2.29'!A1" display="RESERVATORIO APOIADO PARA ARMAZENAMENTO DE AGUA POTAVEL OU P ARA APROVEITAMENTO DE AGUA DA CHUVA AAC,EM FIBRA DE VIDRO OU POLIETILENO,COM CAPACIDADE EM TORNO DE 3000L,INCLUSIVE TAMP A DE VEDACAO COM ESCOTILHA E FIXADORES,CONFORME ABNT NBR 155 27,12217 E 8" xr:uid="{00000000-0004-0000-5000-000001000000}"/>
    <hyperlink ref="C1" location="'13.2.29'!A1" display="RESERVATORIO APOIADO PARA ARMAZENAMENTO DE AGUA POTAVEL OU P ARA APROVEITAMENTO DE AGUA DA CHUVA AAC,EM FIBRA DE VIDRO OU POLIETILENO,COM CAPACIDADE EM TORNO DE 3000L,INCLUSIVE TAMP A DE VEDACAO COM ESCOTILHA E FIXADORES,CONFORME ABNT NBR 155 27,12217 E 8" xr:uid="{00000000-0004-0000-5000-000002000000}"/>
    <hyperlink ref="D1" location="'13.2.29'!A1" display="RESERVATORIO APOIADO PARA ARMAZENAMENTO DE AGUA POTAVEL OU P ARA APROVEITAMENTO DE AGUA DA CHUVA AAC,EM FIBRA DE VIDRO OU POLIETILENO,COM CAPACIDADE EM TORNO DE 3000L,INCLUSIVE TAMP A DE VEDACAO COM ESCOTILHA E FIXADORES,CONFORME ABNT NBR 155 27,12217 E 8" xr:uid="{00000000-0004-0000-5000-000003000000}"/>
    <hyperlink ref="E1" location="'13.2.29'!A1" display="RESERVATORIO APOIADO PARA ARMAZENAMENTO DE AGUA POTAVEL OU P ARA APROVEITAMENTO DE AGUA DA CHUVA AAC,EM FIBRA DE VIDRO OU POLIETILENO,COM CAPACIDADE EM TORNO DE 3000L,INCLUSIVE TAMP A DE VEDACAO COM ESCOTILHA E FIXADORES,CONFORME ABNT NBR 155 27,12217 E 8" xr:uid="{00000000-0004-0000-5000-000004000000}"/>
    <hyperlink ref="A2" location="'13.2.29'!A1" display="RESERVATORIO APOIADO PARA ARMAZENAMENTO DE AGUA POTAVEL OU P ARA APROVEITAMENTO DE AGUA DA CHUVA AAC,EM FIBRA DE VIDRO OU POLIETILENO,COM CAPACIDADE EM TORNO DE 3000L,INCLUSIVE TAMP A DE VEDACAO COM ESCOTILHA E FIXADORES,CONFORME ABNT NBR 155 27,12217 E 8" xr:uid="{00000000-0004-0000-5000-000005000000}"/>
    <hyperlink ref="B2" location="'13.2.29'!A1" display="RESERVATORIO APOIADO PARA ARMAZENAMENTO DE AGUA POTAVEL OU P ARA APROVEITAMENTO DE AGUA DA CHUVA AAC,EM FIBRA DE VIDRO OU POLIETILENO,COM CAPACIDADE EM TORNO DE 3000L,INCLUSIVE TAMP A DE VEDACAO COM ESCOTILHA E FIXADORES,CONFORME ABNT NBR 155 27,12217 E 8" xr:uid="{00000000-0004-0000-5000-000006000000}"/>
    <hyperlink ref="C2" location="'13.2.29'!A1" display="RESERVATORIO APOIADO PARA ARMAZENAMENTO DE AGUA POTAVEL OU P ARA APROVEITAMENTO DE AGUA DA CHUVA AAC,EM FIBRA DE VIDRO OU POLIETILENO,COM CAPACIDADE EM TORNO DE 3000L,INCLUSIVE TAMP A DE VEDACAO COM ESCOTILHA E FIXADORES,CONFORME ABNT NBR 155 27,12217 E 8" xr:uid="{00000000-0004-0000-5000-000007000000}"/>
    <hyperlink ref="D2" location="'13.2.29'!A1" display="RESERVATORIO APOIADO PARA ARMAZENAMENTO DE AGUA POTAVEL OU P ARA APROVEITAMENTO DE AGUA DA CHUVA AAC,EM FIBRA DE VIDRO OU POLIETILENO,COM CAPACIDADE EM TORNO DE 3000L,INCLUSIVE TAMP A DE VEDACAO COM ESCOTILHA E FIXADORES,CONFORME ABNT NBR 155 27,12217 E 8" xr:uid="{00000000-0004-0000-5000-000008000000}"/>
    <hyperlink ref="E2" location="'13.2.29'!A1" display="RESERVATORIO APOIADO PARA ARMAZENAMENTO DE AGUA POTAVEL OU P ARA APROVEITAMENTO DE AGUA DA CHUVA AAC,EM FIBRA DE VIDRO OU POLIETILENO,COM CAPACIDADE EM TORNO DE 3000L,INCLUSIVE TAMP A DE VEDACAO COM ESCOTILHA E FIXADORES,CONFORME ABNT NBR 155 27,12217 E 8" xr:uid="{00000000-0004-0000-5000-000009000000}"/>
    <hyperlink ref="A4" location="'13.2.29'!A1" display="Peças hidrossanitárias (Afastamento Adaptador)" xr:uid="{00000000-0004-0000-5000-00000A000000}"/>
    <hyperlink ref="B4" location="'13.2.29'!A1" display="Peças hidrossanitárias (Afastamento Adaptador)" xr:uid="{00000000-0004-0000-5000-00000B000000}"/>
    <hyperlink ref="C4" location="'13.2.29'!A1" display="Peças hidrossanitárias (Afastamento Adaptador)" xr:uid="{00000000-0004-0000-5000-00000C000000}"/>
    <hyperlink ref="D4" location="'13.2.29'!A1" display="Peças hidrossanitárias (Afastamento Adaptador)" xr:uid="{00000000-0004-0000-5000-00000D000000}"/>
    <hyperlink ref="E4" location="'13.2.29'!A1" display="Peças hidrossanitárias (Afastamento Adaptador)" xr:uid="{00000000-0004-0000-5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100-000000000000}">
  <dimension ref="A1:E57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128</v>
      </c>
      <c r="B1" s="23" t="s">
        <v>128</v>
      </c>
      <c r="C1" s="23" t="s">
        <v>128</v>
      </c>
      <c r="D1" s="23" t="s">
        <v>128</v>
      </c>
      <c r="E1" s="23" t="s">
        <v>128</v>
      </c>
    </row>
    <row r="2" spans="1:5">
      <c r="A2" s="23" t="s">
        <v>128</v>
      </c>
      <c r="B2" s="23" t="s">
        <v>128</v>
      </c>
      <c r="C2" s="23" t="s">
        <v>128</v>
      </c>
      <c r="D2" s="23" t="s">
        <v>128</v>
      </c>
      <c r="E2" s="23" t="s">
        <v>128</v>
      </c>
    </row>
    <row r="4" spans="1:5">
      <c r="A4" s="18" t="s">
        <v>206</v>
      </c>
      <c r="B4" s="18" t="s">
        <v>206</v>
      </c>
      <c r="C4" s="18" t="s">
        <v>206</v>
      </c>
      <c r="D4" s="18" t="s">
        <v>206</v>
      </c>
      <c r="E4" s="18" t="s">
        <v>206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2350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2351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2352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2353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2354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2355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214</v>
      </c>
      <c r="D13" s="11" t="s">
        <v>2356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214</v>
      </c>
      <c r="D14" s="11" t="s">
        <v>2357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214</v>
      </c>
      <c r="D15" s="11" t="s">
        <v>2358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214</v>
      </c>
      <c r="D16" s="11" t="s">
        <v>2359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214</v>
      </c>
      <c r="D17" s="11" t="s">
        <v>2360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214</v>
      </c>
      <c r="D18" s="11" t="s">
        <v>2361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214</v>
      </c>
      <c r="D19" s="11" t="s">
        <v>2362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214</v>
      </c>
      <c r="D20" s="11" t="s">
        <v>2363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214</v>
      </c>
      <c r="D21" s="11" t="s">
        <v>2364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214</v>
      </c>
      <c r="D22" s="11" t="s">
        <v>2365</v>
      </c>
      <c r="E22" s="11">
        <v>1</v>
      </c>
    </row>
    <row r="23" spans="1:5" ht="24.75">
      <c r="A23" s="11" t="s">
        <v>363</v>
      </c>
      <c r="B23" s="11" t="s">
        <v>233</v>
      </c>
      <c r="C23" s="11" t="s">
        <v>214</v>
      </c>
      <c r="D23" s="11" t="s">
        <v>2366</v>
      </c>
      <c r="E23" s="11">
        <v>1</v>
      </c>
    </row>
    <row r="24" spans="1:5" ht="24.75">
      <c r="A24" s="11" t="s">
        <v>363</v>
      </c>
      <c r="B24" s="11" t="s">
        <v>233</v>
      </c>
      <c r="C24" s="11" t="s">
        <v>214</v>
      </c>
      <c r="D24" s="11" t="s">
        <v>2367</v>
      </c>
      <c r="E24" s="11">
        <v>1</v>
      </c>
    </row>
    <row r="25" spans="1:5" ht="24.75">
      <c r="A25" s="11" t="s">
        <v>363</v>
      </c>
      <c r="B25" s="11" t="s">
        <v>233</v>
      </c>
      <c r="C25" s="11" t="s">
        <v>214</v>
      </c>
      <c r="D25" s="11" t="s">
        <v>2368</v>
      </c>
      <c r="E25" s="11">
        <v>1</v>
      </c>
    </row>
    <row r="26" spans="1:5" ht="24.75">
      <c r="A26" s="11" t="s">
        <v>363</v>
      </c>
      <c r="B26" s="11" t="s">
        <v>233</v>
      </c>
      <c r="C26" s="11" t="s">
        <v>214</v>
      </c>
      <c r="D26" s="11" t="s">
        <v>2369</v>
      </c>
      <c r="E26" s="11">
        <v>1</v>
      </c>
    </row>
    <row r="27" spans="1:5" ht="24.75">
      <c r="A27" s="11" t="s">
        <v>363</v>
      </c>
      <c r="B27" s="11" t="s">
        <v>233</v>
      </c>
      <c r="C27" s="11" t="s">
        <v>214</v>
      </c>
      <c r="D27" s="11" t="s">
        <v>2370</v>
      </c>
      <c r="E27" s="11">
        <v>1</v>
      </c>
    </row>
    <row r="28" spans="1:5" ht="24.75">
      <c r="A28" s="11" t="s">
        <v>363</v>
      </c>
      <c r="B28" s="11" t="s">
        <v>233</v>
      </c>
      <c r="C28" s="11" t="s">
        <v>214</v>
      </c>
      <c r="D28" s="11" t="s">
        <v>2371</v>
      </c>
      <c r="E28" s="11">
        <v>1</v>
      </c>
    </row>
    <row r="29" spans="1:5" ht="24.75">
      <c r="A29" s="11" t="s">
        <v>363</v>
      </c>
      <c r="B29" s="11" t="s">
        <v>233</v>
      </c>
      <c r="C29" s="11" t="s">
        <v>214</v>
      </c>
      <c r="D29" s="11" t="s">
        <v>2372</v>
      </c>
      <c r="E29" s="11">
        <v>1</v>
      </c>
    </row>
    <row r="30" spans="1:5" ht="24.75">
      <c r="A30" s="11" t="s">
        <v>363</v>
      </c>
      <c r="B30" s="11" t="s">
        <v>233</v>
      </c>
      <c r="C30" s="11" t="s">
        <v>214</v>
      </c>
      <c r="D30" s="11" t="s">
        <v>2373</v>
      </c>
      <c r="E30" s="11">
        <v>1</v>
      </c>
    </row>
    <row r="31" spans="1:5" ht="24.75">
      <c r="A31" s="11" t="s">
        <v>363</v>
      </c>
      <c r="B31" s="11" t="s">
        <v>233</v>
      </c>
      <c r="C31" s="11" t="s">
        <v>214</v>
      </c>
      <c r="D31" s="11" t="s">
        <v>2374</v>
      </c>
      <c r="E31" s="11">
        <v>1</v>
      </c>
    </row>
    <row r="32" spans="1:5" ht="24.75">
      <c r="A32" s="11" t="s">
        <v>363</v>
      </c>
      <c r="B32" s="11" t="s">
        <v>233</v>
      </c>
      <c r="C32" s="11" t="s">
        <v>214</v>
      </c>
      <c r="D32" s="11" t="s">
        <v>2375</v>
      </c>
      <c r="E32" s="11">
        <v>1</v>
      </c>
    </row>
    <row r="33" spans="1:5" ht="24.75">
      <c r="A33" s="11" t="s">
        <v>363</v>
      </c>
      <c r="B33" s="11" t="s">
        <v>233</v>
      </c>
      <c r="C33" s="11" t="s">
        <v>214</v>
      </c>
      <c r="D33" s="11" t="s">
        <v>2376</v>
      </c>
      <c r="E33" s="11">
        <v>1</v>
      </c>
    </row>
    <row r="34" spans="1:5" ht="24.75">
      <c r="A34" s="11" t="s">
        <v>363</v>
      </c>
      <c r="B34" s="11" t="s">
        <v>233</v>
      </c>
      <c r="C34" s="11" t="s">
        <v>214</v>
      </c>
      <c r="D34" s="11" t="s">
        <v>2377</v>
      </c>
      <c r="E34" s="11">
        <v>1</v>
      </c>
    </row>
    <row r="35" spans="1:5" ht="24.75">
      <c r="A35" s="11" t="s">
        <v>363</v>
      </c>
      <c r="B35" s="11" t="s">
        <v>233</v>
      </c>
      <c r="C35" s="11" t="s">
        <v>214</v>
      </c>
      <c r="D35" s="11" t="s">
        <v>2378</v>
      </c>
      <c r="E35" s="11">
        <v>1</v>
      </c>
    </row>
    <row r="36" spans="1:5" ht="24.75">
      <c r="A36" s="11" t="s">
        <v>363</v>
      </c>
      <c r="B36" s="11" t="s">
        <v>233</v>
      </c>
      <c r="C36" s="11" t="s">
        <v>214</v>
      </c>
      <c r="D36" s="11" t="s">
        <v>2379</v>
      </c>
      <c r="E36" s="11">
        <v>1</v>
      </c>
    </row>
    <row r="37" spans="1:5" ht="24.75">
      <c r="A37" s="11" t="s">
        <v>363</v>
      </c>
      <c r="B37" s="11" t="s">
        <v>233</v>
      </c>
      <c r="C37" s="11" t="s">
        <v>214</v>
      </c>
      <c r="D37" s="11" t="s">
        <v>2380</v>
      </c>
      <c r="E37" s="11">
        <v>1</v>
      </c>
    </row>
    <row r="38" spans="1:5" ht="24.75">
      <c r="A38" s="11" t="s">
        <v>363</v>
      </c>
      <c r="B38" s="11" t="s">
        <v>233</v>
      </c>
      <c r="C38" s="11" t="s">
        <v>214</v>
      </c>
      <c r="D38" s="11" t="s">
        <v>2381</v>
      </c>
      <c r="E38" s="11">
        <v>1</v>
      </c>
    </row>
    <row r="39" spans="1:5" ht="24.75">
      <c r="A39" s="11" t="s">
        <v>363</v>
      </c>
      <c r="B39" s="11" t="s">
        <v>233</v>
      </c>
      <c r="C39" s="11" t="s">
        <v>214</v>
      </c>
      <c r="D39" s="11" t="s">
        <v>2382</v>
      </c>
      <c r="E39" s="11">
        <v>1</v>
      </c>
    </row>
    <row r="40" spans="1:5" ht="24.75">
      <c r="A40" s="11" t="s">
        <v>363</v>
      </c>
      <c r="B40" s="11" t="s">
        <v>233</v>
      </c>
      <c r="C40" s="11" t="s">
        <v>214</v>
      </c>
      <c r="D40" s="11" t="s">
        <v>2383</v>
      </c>
      <c r="E40" s="11">
        <v>1</v>
      </c>
    </row>
    <row r="41" spans="1:5" ht="24.75">
      <c r="A41" s="11" t="s">
        <v>363</v>
      </c>
      <c r="B41" s="11" t="s">
        <v>233</v>
      </c>
      <c r="C41" s="11" t="s">
        <v>214</v>
      </c>
      <c r="D41" s="11" t="s">
        <v>2384</v>
      </c>
      <c r="E41" s="11">
        <v>1</v>
      </c>
    </row>
    <row r="42" spans="1:5" ht="24.75">
      <c r="A42" s="11" t="s">
        <v>363</v>
      </c>
      <c r="B42" s="11" t="s">
        <v>233</v>
      </c>
      <c r="C42" s="11" t="s">
        <v>214</v>
      </c>
      <c r="D42" s="11" t="s">
        <v>2385</v>
      </c>
      <c r="E42" s="11">
        <v>1</v>
      </c>
    </row>
    <row r="43" spans="1:5" ht="24.75">
      <c r="A43" s="11" t="s">
        <v>363</v>
      </c>
      <c r="B43" s="11" t="s">
        <v>233</v>
      </c>
      <c r="C43" s="11" t="s">
        <v>214</v>
      </c>
      <c r="D43" s="11" t="s">
        <v>2386</v>
      </c>
      <c r="E43" s="11">
        <v>1</v>
      </c>
    </row>
    <row r="44" spans="1:5" ht="24.75">
      <c r="A44" s="11" t="s">
        <v>363</v>
      </c>
      <c r="B44" s="11" t="s">
        <v>233</v>
      </c>
      <c r="C44" s="11" t="s">
        <v>214</v>
      </c>
      <c r="D44" s="11" t="s">
        <v>2387</v>
      </c>
      <c r="E44" s="11">
        <v>1</v>
      </c>
    </row>
    <row r="45" spans="1:5" ht="24.75">
      <c r="A45" s="11" t="s">
        <v>363</v>
      </c>
      <c r="B45" s="11" t="s">
        <v>233</v>
      </c>
      <c r="C45" s="11" t="s">
        <v>214</v>
      </c>
      <c r="D45" s="11" t="s">
        <v>2388</v>
      </c>
      <c r="E45" s="11">
        <v>1</v>
      </c>
    </row>
    <row r="46" spans="1:5" ht="24.75">
      <c r="A46" s="11" t="s">
        <v>363</v>
      </c>
      <c r="B46" s="11" t="s">
        <v>233</v>
      </c>
      <c r="C46" s="11" t="s">
        <v>214</v>
      </c>
      <c r="D46" s="11" t="s">
        <v>2389</v>
      </c>
      <c r="E46" s="11">
        <v>1</v>
      </c>
    </row>
    <row r="47" spans="1:5" ht="24.75">
      <c r="A47" s="11" t="s">
        <v>363</v>
      </c>
      <c r="B47" s="11" t="s">
        <v>233</v>
      </c>
      <c r="C47" s="11" t="s">
        <v>214</v>
      </c>
      <c r="D47" s="11" t="s">
        <v>2390</v>
      </c>
      <c r="E47" s="11">
        <v>1</v>
      </c>
    </row>
    <row r="48" spans="1:5" ht="24.75">
      <c r="A48" s="11" t="s">
        <v>363</v>
      </c>
      <c r="B48" s="11" t="s">
        <v>233</v>
      </c>
      <c r="C48" s="11" t="s">
        <v>214</v>
      </c>
      <c r="D48" s="11" t="s">
        <v>2391</v>
      </c>
      <c r="E48" s="11">
        <v>1</v>
      </c>
    </row>
    <row r="49" spans="1:5" ht="24.75">
      <c r="A49" s="11" t="s">
        <v>363</v>
      </c>
      <c r="B49" s="11" t="s">
        <v>233</v>
      </c>
      <c r="C49" s="11" t="s">
        <v>214</v>
      </c>
      <c r="D49" s="11" t="s">
        <v>2392</v>
      </c>
      <c r="E49" s="11">
        <v>1</v>
      </c>
    </row>
    <row r="50" spans="1:5" ht="24.75">
      <c r="A50" s="11" t="s">
        <v>363</v>
      </c>
      <c r="B50" s="11" t="s">
        <v>233</v>
      </c>
      <c r="C50" s="11" t="s">
        <v>214</v>
      </c>
      <c r="D50" s="11" t="s">
        <v>2393</v>
      </c>
      <c r="E50" s="11">
        <v>1</v>
      </c>
    </row>
    <row r="51" spans="1:5" ht="24.75">
      <c r="A51" s="11" t="s">
        <v>363</v>
      </c>
      <c r="B51" s="11" t="s">
        <v>233</v>
      </c>
      <c r="C51" s="11" t="s">
        <v>214</v>
      </c>
      <c r="D51" s="11" t="s">
        <v>2394</v>
      </c>
      <c r="E51" s="11">
        <v>1</v>
      </c>
    </row>
    <row r="52" spans="1:5" ht="24.75">
      <c r="A52" s="11" t="s">
        <v>363</v>
      </c>
      <c r="B52" s="11" t="s">
        <v>233</v>
      </c>
      <c r="C52" s="11" t="s">
        <v>214</v>
      </c>
      <c r="D52" s="11" t="s">
        <v>2395</v>
      </c>
      <c r="E52" s="11">
        <v>1</v>
      </c>
    </row>
    <row r="53" spans="1:5" ht="24.75">
      <c r="A53" s="11" t="s">
        <v>363</v>
      </c>
      <c r="B53" s="11" t="s">
        <v>233</v>
      </c>
      <c r="C53" s="11" t="s">
        <v>214</v>
      </c>
      <c r="D53" s="11" t="s">
        <v>2396</v>
      </c>
      <c r="E53" s="11">
        <v>1</v>
      </c>
    </row>
    <row r="54" spans="1:5" ht="24.75">
      <c r="A54" s="11" t="s">
        <v>363</v>
      </c>
      <c r="B54" s="11" t="s">
        <v>233</v>
      </c>
      <c r="C54" s="11" t="s">
        <v>214</v>
      </c>
      <c r="D54" s="11" t="s">
        <v>2397</v>
      </c>
      <c r="E54" s="11">
        <v>1</v>
      </c>
    </row>
    <row r="55" spans="1:5" ht="24.75">
      <c r="A55" s="11" t="s">
        <v>363</v>
      </c>
      <c r="B55" s="11" t="s">
        <v>233</v>
      </c>
      <c r="C55" s="11" t="s">
        <v>214</v>
      </c>
      <c r="D55" s="11" t="s">
        <v>2398</v>
      </c>
      <c r="E55" s="11">
        <v>1</v>
      </c>
    </row>
    <row r="56" spans="1:5" ht="24.75">
      <c r="A56" s="11" t="s">
        <v>363</v>
      </c>
      <c r="B56" s="11" t="s">
        <v>233</v>
      </c>
      <c r="C56" s="11" t="s">
        <v>214</v>
      </c>
      <c r="D56" s="11" t="s">
        <v>2399</v>
      </c>
      <c r="E56" s="11">
        <v>1</v>
      </c>
    </row>
    <row r="57" spans="1:5">
      <c r="A57" s="1" t="s">
        <v>207</v>
      </c>
      <c r="B57" s="1" t="s">
        <v>207</v>
      </c>
      <c r="C57" s="1">
        <f>SUBTOTAL(103,Elements132301[Elemento])</f>
        <v>50</v>
      </c>
      <c r="D57" s="1" t="s">
        <v>207</v>
      </c>
      <c r="E57" s="1">
        <f>SUBTOTAL(109,Elements132301[Totais:])</f>
        <v>50</v>
      </c>
    </row>
  </sheetData>
  <mergeCells count="3">
    <mergeCell ref="A1:E2"/>
    <mergeCell ref="A4:E4"/>
    <mergeCell ref="A5:E5"/>
  </mergeCells>
  <hyperlinks>
    <hyperlink ref="A1" location="'13.2.30'!A1" display="CURVA 90º SOLDAVEL,COM DIAMETRO DE 60MM.FORNECIMENTO" xr:uid="{00000000-0004-0000-5100-000000000000}"/>
    <hyperlink ref="B1" location="'13.2.30'!A1" display="CURVA 90º SOLDAVEL,COM DIAMETRO DE 60MM.FORNECIMENTO" xr:uid="{00000000-0004-0000-5100-000001000000}"/>
    <hyperlink ref="C1" location="'13.2.30'!A1" display="CURVA 90º SOLDAVEL,COM DIAMETRO DE 60MM.FORNECIMENTO" xr:uid="{00000000-0004-0000-5100-000002000000}"/>
    <hyperlink ref="D1" location="'13.2.30'!A1" display="CURVA 90º SOLDAVEL,COM DIAMETRO DE 60MM.FORNECIMENTO" xr:uid="{00000000-0004-0000-5100-000003000000}"/>
    <hyperlink ref="E1" location="'13.2.30'!A1" display="CURVA 90º SOLDAVEL,COM DIAMETRO DE 60MM.FORNECIMENTO" xr:uid="{00000000-0004-0000-5100-000004000000}"/>
    <hyperlink ref="A2" location="'13.2.30'!A1" display="CURVA 90º SOLDAVEL,COM DIAMETRO DE 60MM.FORNECIMENTO" xr:uid="{00000000-0004-0000-5100-000005000000}"/>
    <hyperlink ref="B2" location="'13.2.30'!A1" display="CURVA 90º SOLDAVEL,COM DIAMETRO DE 60MM.FORNECIMENTO" xr:uid="{00000000-0004-0000-5100-000006000000}"/>
    <hyperlink ref="C2" location="'13.2.30'!A1" display="CURVA 90º SOLDAVEL,COM DIAMETRO DE 60MM.FORNECIMENTO" xr:uid="{00000000-0004-0000-5100-000007000000}"/>
    <hyperlink ref="D2" location="'13.2.30'!A1" display="CURVA 90º SOLDAVEL,COM DIAMETRO DE 60MM.FORNECIMENTO" xr:uid="{00000000-0004-0000-5100-000008000000}"/>
    <hyperlink ref="E2" location="'13.2.30'!A1" display="CURVA 90º SOLDAVEL,COM DIAMETRO DE 60MM.FORNECIMENTO" xr:uid="{00000000-0004-0000-5100-000009000000}"/>
    <hyperlink ref="A4" location="'13.2.30'!A1" display="Conexões de tubo (Afastamento)" xr:uid="{00000000-0004-0000-5100-00000A000000}"/>
    <hyperlink ref="B4" location="'13.2.30'!A1" display="Conexões de tubo (Afastamento)" xr:uid="{00000000-0004-0000-5100-00000B000000}"/>
    <hyperlink ref="C4" location="'13.2.30'!A1" display="Conexões de tubo (Afastamento)" xr:uid="{00000000-0004-0000-5100-00000C000000}"/>
    <hyperlink ref="D4" location="'13.2.30'!A1" display="Conexões de tubo (Afastamento)" xr:uid="{00000000-0004-0000-5100-00000D000000}"/>
    <hyperlink ref="E4" location="'13.2.30'!A1" display="Conexões de tubo (Afastamento)" xr:uid="{00000000-0004-0000-5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200-000000000000}">
  <dimension ref="A1:E17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132</v>
      </c>
      <c r="B1" s="23" t="s">
        <v>132</v>
      </c>
      <c r="C1" s="23" t="s">
        <v>132</v>
      </c>
      <c r="D1" s="23" t="s">
        <v>132</v>
      </c>
      <c r="E1" s="23" t="s">
        <v>132</v>
      </c>
    </row>
    <row r="2" spans="1:5">
      <c r="A2" s="23" t="s">
        <v>132</v>
      </c>
      <c r="B2" s="23" t="s">
        <v>132</v>
      </c>
      <c r="C2" s="23" t="s">
        <v>132</v>
      </c>
      <c r="D2" s="23" t="s">
        <v>132</v>
      </c>
      <c r="E2" s="23" t="s">
        <v>132</v>
      </c>
    </row>
    <row r="4" spans="1:5">
      <c r="A4" s="18" t="s">
        <v>280</v>
      </c>
      <c r="B4" s="18" t="s">
        <v>280</v>
      </c>
      <c r="C4" s="18" t="s">
        <v>280</v>
      </c>
      <c r="D4" s="18" t="s">
        <v>280</v>
      </c>
      <c r="E4" s="18" t="s">
        <v>280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314</v>
      </c>
      <c r="D7" s="11" t="s">
        <v>2340</v>
      </c>
      <c r="E7" s="11">
        <v>1</v>
      </c>
    </row>
    <row r="8" spans="1:5" ht="24.75">
      <c r="A8" s="11" t="s">
        <v>363</v>
      </c>
      <c r="B8" s="11" t="s">
        <v>233</v>
      </c>
      <c r="C8" s="11" t="s">
        <v>314</v>
      </c>
      <c r="D8" s="11" t="s">
        <v>2341</v>
      </c>
      <c r="E8" s="11">
        <v>1</v>
      </c>
    </row>
    <row r="9" spans="1:5" ht="24.75">
      <c r="A9" s="11" t="s">
        <v>363</v>
      </c>
      <c r="B9" s="11" t="s">
        <v>233</v>
      </c>
      <c r="C9" s="11" t="s">
        <v>314</v>
      </c>
      <c r="D9" s="11" t="s">
        <v>2342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314</v>
      </c>
      <c r="D10" s="11" t="s">
        <v>2343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314</v>
      </c>
      <c r="D11" s="11" t="s">
        <v>2344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314</v>
      </c>
      <c r="D12" s="11" t="s">
        <v>2345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314</v>
      </c>
      <c r="D13" s="11" t="s">
        <v>2346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314</v>
      </c>
      <c r="D14" s="11" t="s">
        <v>2347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314</v>
      </c>
      <c r="D15" s="11" t="s">
        <v>2348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314</v>
      </c>
      <c r="D16" s="11" t="s">
        <v>2349</v>
      </c>
      <c r="E16" s="11">
        <v>1</v>
      </c>
    </row>
    <row r="17" spans="1:5">
      <c r="A17" s="1" t="s">
        <v>207</v>
      </c>
      <c r="B17" s="1" t="s">
        <v>207</v>
      </c>
      <c r="C17" s="1">
        <f>SUBTOTAL(103,Elements132311[Elemento])</f>
        <v>10</v>
      </c>
      <c r="D17" s="1" t="s">
        <v>207</v>
      </c>
      <c r="E17" s="1">
        <f>SUBTOTAL(109,Elements132311[Totais:])</f>
        <v>10</v>
      </c>
    </row>
  </sheetData>
  <mergeCells count="3">
    <mergeCell ref="A1:E2"/>
    <mergeCell ref="A4:E4"/>
    <mergeCell ref="A5:E5"/>
  </mergeCells>
  <hyperlinks>
    <hyperlink ref="A1" location="'13.2.31'!A1" display="COLOCACAO DE RESERVATORIO DE FRIBROCIMENTO,FIBRA DE VIDRO OU SEMELHANTE DE 3.000L,INCLUSIVE PECAS DE APOIO EM ALVENARIA E MADEIRA SERRADA,E FLANGES DE LIGACAO HIDRAULICA,EXCLUSIVE FORNECIMENTO DO RESERVATORIO" xr:uid="{00000000-0004-0000-5200-000000000000}"/>
    <hyperlink ref="B1" location="'13.2.31'!A1" display="COLOCACAO DE RESERVATORIO DE FRIBROCIMENTO,FIBRA DE VIDRO OU SEMELHANTE DE 3.000L,INCLUSIVE PECAS DE APOIO EM ALVENARIA E MADEIRA SERRADA,E FLANGES DE LIGACAO HIDRAULICA,EXCLUSIVE FORNECIMENTO DO RESERVATORIO" xr:uid="{00000000-0004-0000-5200-000001000000}"/>
    <hyperlink ref="C1" location="'13.2.31'!A1" display="COLOCACAO DE RESERVATORIO DE FRIBROCIMENTO,FIBRA DE VIDRO OU SEMELHANTE DE 3.000L,INCLUSIVE PECAS DE APOIO EM ALVENARIA E MADEIRA SERRADA,E FLANGES DE LIGACAO HIDRAULICA,EXCLUSIVE FORNECIMENTO DO RESERVATORIO" xr:uid="{00000000-0004-0000-5200-000002000000}"/>
    <hyperlink ref="D1" location="'13.2.31'!A1" display="COLOCACAO DE RESERVATORIO DE FRIBROCIMENTO,FIBRA DE VIDRO OU SEMELHANTE DE 3.000L,INCLUSIVE PECAS DE APOIO EM ALVENARIA E MADEIRA SERRADA,E FLANGES DE LIGACAO HIDRAULICA,EXCLUSIVE FORNECIMENTO DO RESERVATORIO" xr:uid="{00000000-0004-0000-5200-000003000000}"/>
    <hyperlink ref="E1" location="'13.2.31'!A1" display="COLOCACAO DE RESERVATORIO DE FRIBROCIMENTO,FIBRA DE VIDRO OU SEMELHANTE DE 3.000L,INCLUSIVE PECAS DE APOIO EM ALVENARIA E MADEIRA SERRADA,E FLANGES DE LIGACAO HIDRAULICA,EXCLUSIVE FORNECIMENTO DO RESERVATORIO" xr:uid="{00000000-0004-0000-5200-000004000000}"/>
    <hyperlink ref="A2" location="'13.2.31'!A1" display="COLOCACAO DE RESERVATORIO DE FRIBROCIMENTO,FIBRA DE VIDRO OU SEMELHANTE DE 3.000L,INCLUSIVE PECAS DE APOIO EM ALVENARIA E MADEIRA SERRADA,E FLANGES DE LIGACAO HIDRAULICA,EXCLUSIVE FORNECIMENTO DO RESERVATORIO" xr:uid="{00000000-0004-0000-5200-000005000000}"/>
    <hyperlink ref="B2" location="'13.2.31'!A1" display="COLOCACAO DE RESERVATORIO DE FRIBROCIMENTO,FIBRA DE VIDRO OU SEMELHANTE DE 3.000L,INCLUSIVE PECAS DE APOIO EM ALVENARIA E MADEIRA SERRADA,E FLANGES DE LIGACAO HIDRAULICA,EXCLUSIVE FORNECIMENTO DO RESERVATORIO" xr:uid="{00000000-0004-0000-5200-000006000000}"/>
    <hyperlink ref="C2" location="'13.2.31'!A1" display="COLOCACAO DE RESERVATORIO DE FRIBROCIMENTO,FIBRA DE VIDRO OU SEMELHANTE DE 3.000L,INCLUSIVE PECAS DE APOIO EM ALVENARIA E MADEIRA SERRADA,E FLANGES DE LIGACAO HIDRAULICA,EXCLUSIVE FORNECIMENTO DO RESERVATORIO" xr:uid="{00000000-0004-0000-5200-000007000000}"/>
    <hyperlink ref="D2" location="'13.2.31'!A1" display="COLOCACAO DE RESERVATORIO DE FRIBROCIMENTO,FIBRA DE VIDRO OU SEMELHANTE DE 3.000L,INCLUSIVE PECAS DE APOIO EM ALVENARIA E MADEIRA SERRADA,E FLANGES DE LIGACAO HIDRAULICA,EXCLUSIVE FORNECIMENTO DO RESERVATORIO" xr:uid="{00000000-0004-0000-5200-000008000000}"/>
    <hyperlink ref="E2" location="'13.2.31'!A1" display="COLOCACAO DE RESERVATORIO DE FRIBROCIMENTO,FIBRA DE VIDRO OU SEMELHANTE DE 3.000L,INCLUSIVE PECAS DE APOIO EM ALVENARIA E MADEIRA SERRADA,E FLANGES DE LIGACAO HIDRAULICA,EXCLUSIVE FORNECIMENTO DO RESERVATORIO" xr:uid="{00000000-0004-0000-5200-000009000000}"/>
    <hyperlink ref="A4" location="'13.2.31'!A1" display="Peças hidrossanitárias (Afastamento Adaptador)" xr:uid="{00000000-0004-0000-5200-00000A000000}"/>
    <hyperlink ref="B4" location="'13.2.31'!A1" display="Peças hidrossanitárias (Afastamento Adaptador)" xr:uid="{00000000-0004-0000-5200-00000B000000}"/>
    <hyperlink ref="C4" location="'13.2.31'!A1" display="Peças hidrossanitárias (Afastamento Adaptador)" xr:uid="{00000000-0004-0000-5200-00000C000000}"/>
    <hyperlink ref="D4" location="'13.2.31'!A1" display="Peças hidrossanitárias (Afastamento Adaptador)" xr:uid="{00000000-0004-0000-5200-00000D000000}"/>
    <hyperlink ref="E4" location="'13.2.31'!A1" display="Peças hidrossanitárias (Afastamento Adaptador)" xr:uid="{00000000-0004-0000-5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300-000000000000}">
  <dimension ref="A1:E16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135</v>
      </c>
      <c r="B1" s="23" t="s">
        <v>135</v>
      </c>
      <c r="C1" s="23" t="s">
        <v>135</v>
      </c>
      <c r="D1" s="23" t="s">
        <v>135</v>
      </c>
      <c r="E1" s="23" t="s">
        <v>135</v>
      </c>
    </row>
    <row r="2" spans="1:5">
      <c r="A2" s="23" t="s">
        <v>135</v>
      </c>
      <c r="B2" s="23" t="s">
        <v>135</v>
      </c>
      <c r="C2" s="23" t="s">
        <v>135</v>
      </c>
      <c r="D2" s="23" t="s">
        <v>135</v>
      </c>
      <c r="E2" s="23" t="s">
        <v>135</v>
      </c>
    </row>
    <row r="4" spans="1:5">
      <c r="A4" s="18" t="s">
        <v>239</v>
      </c>
      <c r="B4" s="18" t="s">
        <v>239</v>
      </c>
      <c r="C4" s="18" t="s">
        <v>239</v>
      </c>
      <c r="D4" s="18" t="s">
        <v>239</v>
      </c>
      <c r="E4" s="18" t="s">
        <v>239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320</v>
      </c>
      <c r="D7" s="11" t="s">
        <v>2400</v>
      </c>
      <c r="E7" s="11">
        <v>1</v>
      </c>
    </row>
    <row r="8" spans="1:5" ht="24.75">
      <c r="A8" s="11" t="s">
        <v>363</v>
      </c>
      <c r="B8" s="11" t="s">
        <v>233</v>
      </c>
      <c r="C8" s="11" t="s">
        <v>320</v>
      </c>
      <c r="D8" s="11" t="s">
        <v>2401</v>
      </c>
      <c r="E8" s="11">
        <v>1</v>
      </c>
    </row>
    <row r="9" spans="1:5" ht="24.75">
      <c r="A9" s="11" t="s">
        <v>363</v>
      </c>
      <c r="B9" s="11" t="s">
        <v>233</v>
      </c>
      <c r="C9" s="11" t="s">
        <v>320</v>
      </c>
      <c r="D9" s="11" t="s">
        <v>2402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320</v>
      </c>
      <c r="D10" s="11" t="s">
        <v>2403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320</v>
      </c>
      <c r="D11" s="11" t="s">
        <v>2404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320</v>
      </c>
      <c r="D12" s="11" t="s">
        <v>2405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320</v>
      </c>
      <c r="D13" s="11" t="s">
        <v>2406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320</v>
      </c>
      <c r="D14" s="11" t="s">
        <v>2407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320</v>
      </c>
      <c r="D15" s="11" t="s">
        <v>2408</v>
      </c>
      <c r="E15" s="11">
        <v>1</v>
      </c>
    </row>
    <row r="16" spans="1:5">
      <c r="A16" s="1" t="s">
        <v>207</v>
      </c>
      <c r="B16" s="1" t="s">
        <v>207</v>
      </c>
      <c r="C16" s="1">
        <f>SUBTOTAL(103,Elements132321[Elemento])</f>
        <v>9</v>
      </c>
      <c r="D16" s="1" t="s">
        <v>207</v>
      </c>
      <c r="E16" s="1">
        <f>SUBTOTAL(109,Elements132321[Totais:])</f>
        <v>9</v>
      </c>
    </row>
  </sheetData>
  <mergeCells count="3">
    <mergeCell ref="A1:E2"/>
    <mergeCell ref="A4:E4"/>
    <mergeCell ref="A5:E5"/>
  </mergeCells>
  <hyperlinks>
    <hyperlink ref="A1" location="'13.2.32'!A1" display="CHAVE BOIA,AUTOMATICA,DE MERCURIO,UNIPOLAR.FORNECIMENTO E CO LOCACAO" xr:uid="{00000000-0004-0000-5300-000000000000}"/>
    <hyperlink ref="B1" location="'13.2.32'!A1" display="CHAVE BOIA,AUTOMATICA,DE MERCURIO,UNIPOLAR.FORNECIMENTO E CO LOCACAO" xr:uid="{00000000-0004-0000-5300-000001000000}"/>
    <hyperlink ref="C1" location="'13.2.32'!A1" display="CHAVE BOIA,AUTOMATICA,DE MERCURIO,UNIPOLAR.FORNECIMENTO E CO LOCACAO" xr:uid="{00000000-0004-0000-5300-000002000000}"/>
    <hyperlink ref="D1" location="'13.2.32'!A1" display="CHAVE BOIA,AUTOMATICA,DE MERCURIO,UNIPOLAR.FORNECIMENTO E CO LOCACAO" xr:uid="{00000000-0004-0000-5300-000003000000}"/>
    <hyperlink ref="E1" location="'13.2.32'!A1" display="CHAVE BOIA,AUTOMATICA,DE MERCURIO,UNIPOLAR.FORNECIMENTO E CO LOCACAO" xr:uid="{00000000-0004-0000-5300-000004000000}"/>
    <hyperlink ref="A2" location="'13.2.32'!A1" display="CHAVE BOIA,AUTOMATICA,DE MERCURIO,UNIPOLAR.FORNECIMENTO E CO LOCACAO" xr:uid="{00000000-0004-0000-5300-000005000000}"/>
    <hyperlink ref="B2" location="'13.2.32'!A1" display="CHAVE BOIA,AUTOMATICA,DE MERCURIO,UNIPOLAR.FORNECIMENTO E CO LOCACAO" xr:uid="{00000000-0004-0000-5300-000006000000}"/>
    <hyperlink ref="C2" location="'13.2.32'!A1" display="CHAVE BOIA,AUTOMATICA,DE MERCURIO,UNIPOLAR.FORNECIMENTO E CO LOCACAO" xr:uid="{00000000-0004-0000-5300-000007000000}"/>
    <hyperlink ref="D2" location="'13.2.32'!A1" display="CHAVE BOIA,AUTOMATICA,DE MERCURIO,UNIPOLAR.FORNECIMENTO E CO LOCACAO" xr:uid="{00000000-0004-0000-5300-000008000000}"/>
    <hyperlink ref="E2" location="'13.2.32'!A1" display="CHAVE BOIA,AUTOMATICA,DE MERCURIO,UNIPOLAR.FORNECIMENTO E CO LOCACAO" xr:uid="{00000000-0004-0000-5300-000009000000}"/>
    <hyperlink ref="A4" location="'13.2.32'!A1" display="Acessórios do tubo (A)" xr:uid="{00000000-0004-0000-5300-00000A000000}"/>
    <hyperlink ref="B4" location="'13.2.32'!A1" display="Acessórios do tubo (A)" xr:uid="{00000000-0004-0000-5300-00000B000000}"/>
    <hyperlink ref="C4" location="'13.2.32'!A1" display="Acessórios do tubo (A)" xr:uid="{00000000-0004-0000-5300-00000C000000}"/>
    <hyperlink ref="D4" location="'13.2.32'!A1" display="Acessórios do tubo (A)" xr:uid="{00000000-0004-0000-5300-00000D000000}"/>
    <hyperlink ref="E4" location="'13.2.32'!A1" display="Acessórios do tubo (A)" xr:uid="{00000000-0004-0000-5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400-000000000000}">
  <dimension ref="A1:E13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139</v>
      </c>
      <c r="B1" s="23" t="s">
        <v>139</v>
      </c>
      <c r="C1" s="23" t="s">
        <v>139</v>
      </c>
      <c r="D1" s="23" t="s">
        <v>139</v>
      </c>
      <c r="E1" s="23" t="s">
        <v>139</v>
      </c>
    </row>
    <row r="2" spans="1:5">
      <c r="A2" s="23" t="s">
        <v>139</v>
      </c>
      <c r="B2" s="23" t="s">
        <v>139</v>
      </c>
      <c r="C2" s="23" t="s">
        <v>139</v>
      </c>
      <c r="D2" s="23" t="s">
        <v>139</v>
      </c>
      <c r="E2" s="23" t="s">
        <v>139</v>
      </c>
    </row>
    <row r="4" spans="1:5">
      <c r="A4" s="18" t="s">
        <v>269</v>
      </c>
      <c r="B4" s="18" t="s">
        <v>269</v>
      </c>
      <c r="C4" s="18" t="s">
        <v>269</v>
      </c>
      <c r="D4" s="18" t="s">
        <v>269</v>
      </c>
      <c r="E4" s="18" t="s">
        <v>269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2409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2410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2411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2412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2413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2414</v>
      </c>
      <c r="E12" s="11">
        <v>1</v>
      </c>
    </row>
    <row r="13" spans="1:5">
      <c r="A13" s="1" t="s">
        <v>207</v>
      </c>
      <c r="B13" s="1" t="s">
        <v>207</v>
      </c>
      <c r="C13" s="1">
        <f>SUBTOTAL(103,Elements132331[Elemento])</f>
        <v>6</v>
      </c>
      <c r="D13" s="1" t="s">
        <v>207</v>
      </c>
      <c r="E13" s="1">
        <f>SUBTOTAL(109,Elements132331[Totais:])</f>
        <v>6</v>
      </c>
    </row>
  </sheetData>
  <mergeCells count="3">
    <mergeCell ref="A1:E2"/>
    <mergeCell ref="A4:E4"/>
    <mergeCell ref="A5:E5"/>
  </mergeCells>
  <hyperlinks>
    <hyperlink ref="A1" location="'13.2.33'!A1" display="CURVA 45º SOLDAVEL,COM DIAMETRO DE 25MM.FORNECIMENTO" xr:uid="{00000000-0004-0000-5400-000000000000}"/>
    <hyperlink ref="B1" location="'13.2.33'!A1" display="CURVA 45º SOLDAVEL,COM DIAMETRO DE 25MM.FORNECIMENTO" xr:uid="{00000000-0004-0000-5400-000001000000}"/>
    <hyperlink ref="C1" location="'13.2.33'!A1" display="CURVA 45º SOLDAVEL,COM DIAMETRO DE 25MM.FORNECIMENTO" xr:uid="{00000000-0004-0000-5400-000002000000}"/>
    <hyperlink ref="D1" location="'13.2.33'!A1" display="CURVA 45º SOLDAVEL,COM DIAMETRO DE 25MM.FORNECIMENTO" xr:uid="{00000000-0004-0000-5400-000003000000}"/>
    <hyperlink ref="E1" location="'13.2.33'!A1" display="CURVA 45º SOLDAVEL,COM DIAMETRO DE 25MM.FORNECIMENTO" xr:uid="{00000000-0004-0000-5400-000004000000}"/>
    <hyperlink ref="A2" location="'13.2.33'!A1" display="CURVA 45º SOLDAVEL,COM DIAMETRO DE 25MM.FORNECIMENTO" xr:uid="{00000000-0004-0000-5400-000005000000}"/>
    <hyperlink ref="B2" location="'13.2.33'!A1" display="CURVA 45º SOLDAVEL,COM DIAMETRO DE 25MM.FORNECIMENTO" xr:uid="{00000000-0004-0000-5400-000006000000}"/>
    <hyperlink ref="C2" location="'13.2.33'!A1" display="CURVA 45º SOLDAVEL,COM DIAMETRO DE 25MM.FORNECIMENTO" xr:uid="{00000000-0004-0000-5400-000007000000}"/>
    <hyperlink ref="D2" location="'13.2.33'!A1" display="CURVA 45º SOLDAVEL,COM DIAMETRO DE 25MM.FORNECIMENTO" xr:uid="{00000000-0004-0000-5400-000008000000}"/>
    <hyperlink ref="E2" location="'13.2.33'!A1" display="CURVA 45º SOLDAVEL,COM DIAMETRO DE 25MM.FORNECIMENTO" xr:uid="{00000000-0004-0000-5400-000009000000}"/>
    <hyperlink ref="A4" location="'13.2.33'!A1" display="Conexões de tubo" xr:uid="{00000000-0004-0000-5400-00000A000000}"/>
    <hyperlink ref="B4" location="'13.2.33'!A1" display="Conexões de tubo" xr:uid="{00000000-0004-0000-5400-00000B000000}"/>
    <hyperlink ref="C4" location="'13.2.33'!A1" display="Conexões de tubo" xr:uid="{00000000-0004-0000-5400-00000C000000}"/>
    <hyperlink ref="D4" location="'13.2.33'!A1" display="Conexões de tubo" xr:uid="{00000000-0004-0000-5400-00000D000000}"/>
    <hyperlink ref="E4" location="'13.2.33'!A1" display="Conexões de tubo" xr:uid="{00000000-0004-0000-54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500-000000000000}">
  <dimension ref="A1:E493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142</v>
      </c>
      <c r="B1" s="23" t="s">
        <v>142</v>
      </c>
      <c r="C1" s="23" t="s">
        <v>142</v>
      </c>
      <c r="D1" s="23" t="s">
        <v>142</v>
      </c>
      <c r="E1" s="23" t="s">
        <v>142</v>
      </c>
    </row>
    <row r="2" spans="1:5">
      <c r="A2" s="23" t="s">
        <v>142</v>
      </c>
      <c r="B2" s="23" t="s">
        <v>142</v>
      </c>
      <c r="C2" s="23" t="s">
        <v>142</v>
      </c>
      <c r="D2" s="23" t="s">
        <v>142</v>
      </c>
      <c r="E2" s="23" t="s">
        <v>142</v>
      </c>
    </row>
    <row r="4" spans="1:5">
      <c r="A4" s="18" t="s">
        <v>324</v>
      </c>
      <c r="B4" s="18" t="s">
        <v>324</v>
      </c>
      <c r="C4" s="18" t="s">
        <v>324</v>
      </c>
      <c r="D4" s="18" t="s">
        <v>324</v>
      </c>
      <c r="E4" s="18" t="s">
        <v>324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325</v>
      </c>
      <c r="D7" s="11" t="s">
        <v>2415</v>
      </c>
      <c r="E7" s="11">
        <v>1</v>
      </c>
    </row>
    <row r="8" spans="1:5" ht="24.75">
      <c r="A8" s="11" t="s">
        <v>363</v>
      </c>
      <c r="B8" s="11" t="s">
        <v>233</v>
      </c>
      <c r="C8" s="11" t="s">
        <v>325</v>
      </c>
      <c r="D8" s="11" t="s">
        <v>2415</v>
      </c>
      <c r="E8" s="11">
        <v>1</v>
      </c>
    </row>
    <row r="9" spans="1:5" ht="24.75">
      <c r="A9" s="11" t="s">
        <v>363</v>
      </c>
      <c r="B9" s="11" t="s">
        <v>233</v>
      </c>
      <c r="C9" s="11" t="s">
        <v>325</v>
      </c>
      <c r="D9" s="11" t="s">
        <v>2416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325</v>
      </c>
      <c r="D10" s="11" t="s">
        <v>2416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325</v>
      </c>
      <c r="D11" s="11" t="s">
        <v>2417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325</v>
      </c>
      <c r="D12" s="11" t="s">
        <v>2417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325</v>
      </c>
      <c r="D13" s="11" t="s">
        <v>2418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325</v>
      </c>
      <c r="D14" s="11" t="s">
        <v>2418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325</v>
      </c>
      <c r="D15" s="11" t="s">
        <v>2419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325</v>
      </c>
      <c r="D16" s="11" t="s">
        <v>2419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325</v>
      </c>
      <c r="D17" s="11" t="s">
        <v>2420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325</v>
      </c>
      <c r="D18" s="11" t="s">
        <v>2420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325</v>
      </c>
      <c r="D19" s="11" t="s">
        <v>2421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325</v>
      </c>
      <c r="D20" s="11" t="s">
        <v>2421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325</v>
      </c>
      <c r="D21" s="11" t="s">
        <v>2422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325</v>
      </c>
      <c r="D22" s="11" t="s">
        <v>2422</v>
      </c>
      <c r="E22" s="11">
        <v>1</v>
      </c>
    </row>
    <row r="23" spans="1:5" ht="24.75">
      <c r="A23" s="11" t="s">
        <v>363</v>
      </c>
      <c r="B23" s="11" t="s">
        <v>233</v>
      </c>
      <c r="C23" s="11" t="s">
        <v>325</v>
      </c>
      <c r="D23" s="11" t="s">
        <v>2423</v>
      </c>
      <c r="E23" s="11">
        <v>1</v>
      </c>
    </row>
    <row r="24" spans="1:5" ht="24.75">
      <c r="A24" s="11" t="s">
        <v>363</v>
      </c>
      <c r="B24" s="11" t="s">
        <v>233</v>
      </c>
      <c r="C24" s="11" t="s">
        <v>325</v>
      </c>
      <c r="D24" s="11" t="s">
        <v>2423</v>
      </c>
      <c r="E24" s="11">
        <v>1</v>
      </c>
    </row>
    <row r="25" spans="1:5" ht="24.75">
      <c r="A25" s="11" t="s">
        <v>363</v>
      </c>
      <c r="B25" s="11" t="s">
        <v>233</v>
      </c>
      <c r="C25" s="11" t="s">
        <v>325</v>
      </c>
      <c r="D25" s="11" t="s">
        <v>2424</v>
      </c>
      <c r="E25" s="11">
        <v>1</v>
      </c>
    </row>
    <row r="26" spans="1:5" ht="24.75">
      <c r="A26" s="11" t="s">
        <v>363</v>
      </c>
      <c r="B26" s="11" t="s">
        <v>233</v>
      </c>
      <c r="C26" s="11" t="s">
        <v>325</v>
      </c>
      <c r="D26" s="11" t="s">
        <v>2424</v>
      </c>
      <c r="E26" s="11">
        <v>1</v>
      </c>
    </row>
    <row r="27" spans="1:5" ht="24.75">
      <c r="A27" s="11" t="s">
        <v>363</v>
      </c>
      <c r="B27" s="11" t="s">
        <v>233</v>
      </c>
      <c r="C27" s="11" t="s">
        <v>325</v>
      </c>
      <c r="D27" s="11" t="s">
        <v>2425</v>
      </c>
      <c r="E27" s="11">
        <v>1</v>
      </c>
    </row>
    <row r="28" spans="1:5" ht="24.75">
      <c r="A28" s="11" t="s">
        <v>363</v>
      </c>
      <c r="B28" s="11" t="s">
        <v>233</v>
      </c>
      <c r="C28" s="11" t="s">
        <v>325</v>
      </c>
      <c r="D28" s="11" t="s">
        <v>2425</v>
      </c>
      <c r="E28" s="11">
        <v>1</v>
      </c>
    </row>
    <row r="29" spans="1:5" ht="24.75">
      <c r="A29" s="11" t="s">
        <v>363</v>
      </c>
      <c r="B29" s="11" t="s">
        <v>233</v>
      </c>
      <c r="C29" s="11" t="s">
        <v>325</v>
      </c>
      <c r="D29" s="11" t="s">
        <v>2426</v>
      </c>
      <c r="E29" s="11">
        <v>1</v>
      </c>
    </row>
    <row r="30" spans="1:5" ht="24.75">
      <c r="A30" s="11" t="s">
        <v>363</v>
      </c>
      <c r="B30" s="11" t="s">
        <v>233</v>
      </c>
      <c r="C30" s="11" t="s">
        <v>325</v>
      </c>
      <c r="D30" s="11" t="s">
        <v>2426</v>
      </c>
      <c r="E30" s="11">
        <v>1</v>
      </c>
    </row>
    <row r="31" spans="1:5" ht="24.75">
      <c r="A31" s="11" t="s">
        <v>363</v>
      </c>
      <c r="B31" s="11" t="s">
        <v>233</v>
      </c>
      <c r="C31" s="11" t="s">
        <v>325</v>
      </c>
      <c r="D31" s="11" t="s">
        <v>2427</v>
      </c>
      <c r="E31" s="11">
        <v>1</v>
      </c>
    </row>
    <row r="32" spans="1:5" ht="24.75">
      <c r="A32" s="11" t="s">
        <v>363</v>
      </c>
      <c r="B32" s="11" t="s">
        <v>233</v>
      </c>
      <c r="C32" s="11" t="s">
        <v>325</v>
      </c>
      <c r="D32" s="11" t="s">
        <v>2427</v>
      </c>
      <c r="E32" s="11">
        <v>1</v>
      </c>
    </row>
    <row r="33" spans="1:5" ht="24.75">
      <c r="A33" s="11" t="s">
        <v>363</v>
      </c>
      <c r="B33" s="11" t="s">
        <v>233</v>
      </c>
      <c r="C33" s="11" t="s">
        <v>325</v>
      </c>
      <c r="D33" s="11" t="s">
        <v>2428</v>
      </c>
      <c r="E33" s="11">
        <v>1</v>
      </c>
    </row>
    <row r="34" spans="1:5" ht="24.75">
      <c r="A34" s="11" t="s">
        <v>363</v>
      </c>
      <c r="B34" s="11" t="s">
        <v>233</v>
      </c>
      <c r="C34" s="11" t="s">
        <v>325</v>
      </c>
      <c r="D34" s="11" t="s">
        <v>2428</v>
      </c>
      <c r="E34" s="11">
        <v>1</v>
      </c>
    </row>
    <row r="35" spans="1:5" ht="24.75">
      <c r="A35" s="11" t="s">
        <v>363</v>
      </c>
      <c r="B35" s="11" t="s">
        <v>233</v>
      </c>
      <c r="C35" s="11" t="s">
        <v>325</v>
      </c>
      <c r="D35" s="11" t="s">
        <v>2429</v>
      </c>
      <c r="E35" s="11">
        <v>1</v>
      </c>
    </row>
    <row r="36" spans="1:5" ht="24.75">
      <c r="A36" s="11" t="s">
        <v>363</v>
      </c>
      <c r="B36" s="11" t="s">
        <v>233</v>
      </c>
      <c r="C36" s="11" t="s">
        <v>325</v>
      </c>
      <c r="D36" s="11" t="s">
        <v>2429</v>
      </c>
      <c r="E36" s="11">
        <v>1</v>
      </c>
    </row>
    <row r="37" spans="1:5" ht="24.75">
      <c r="A37" s="11" t="s">
        <v>363</v>
      </c>
      <c r="B37" s="11" t="s">
        <v>233</v>
      </c>
      <c r="C37" s="11" t="s">
        <v>325</v>
      </c>
      <c r="D37" s="11" t="s">
        <v>2430</v>
      </c>
      <c r="E37" s="11">
        <v>1</v>
      </c>
    </row>
    <row r="38" spans="1:5" ht="24.75">
      <c r="A38" s="11" t="s">
        <v>363</v>
      </c>
      <c r="B38" s="11" t="s">
        <v>233</v>
      </c>
      <c r="C38" s="11" t="s">
        <v>325</v>
      </c>
      <c r="D38" s="11" t="s">
        <v>2430</v>
      </c>
      <c r="E38" s="11">
        <v>1</v>
      </c>
    </row>
    <row r="39" spans="1:5" ht="24.75">
      <c r="A39" s="11" t="s">
        <v>363</v>
      </c>
      <c r="B39" s="11" t="s">
        <v>233</v>
      </c>
      <c r="C39" s="11" t="s">
        <v>325</v>
      </c>
      <c r="D39" s="11" t="s">
        <v>2431</v>
      </c>
      <c r="E39" s="11">
        <v>1</v>
      </c>
    </row>
    <row r="40" spans="1:5" ht="24.75">
      <c r="A40" s="11" t="s">
        <v>363</v>
      </c>
      <c r="B40" s="11" t="s">
        <v>233</v>
      </c>
      <c r="C40" s="11" t="s">
        <v>325</v>
      </c>
      <c r="D40" s="11" t="s">
        <v>2431</v>
      </c>
      <c r="E40" s="11">
        <v>1</v>
      </c>
    </row>
    <row r="41" spans="1:5" ht="24.75">
      <c r="A41" s="11" t="s">
        <v>363</v>
      </c>
      <c r="B41" s="11" t="s">
        <v>233</v>
      </c>
      <c r="C41" s="11" t="s">
        <v>325</v>
      </c>
      <c r="D41" s="11" t="s">
        <v>2432</v>
      </c>
      <c r="E41" s="11">
        <v>1</v>
      </c>
    </row>
    <row r="42" spans="1:5" ht="24.75">
      <c r="A42" s="11" t="s">
        <v>363</v>
      </c>
      <c r="B42" s="11" t="s">
        <v>233</v>
      </c>
      <c r="C42" s="11" t="s">
        <v>325</v>
      </c>
      <c r="D42" s="11" t="s">
        <v>2432</v>
      </c>
      <c r="E42" s="11">
        <v>1</v>
      </c>
    </row>
    <row r="43" spans="1:5" ht="24.75">
      <c r="A43" s="11" t="s">
        <v>363</v>
      </c>
      <c r="B43" s="11" t="s">
        <v>233</v>
      </c>
      <c r="C43" s="11" t="s">
        <v>325</v>
      </c>
      <c r="D43" s="11" t="s">
        <v>2433</v>
      </c>
      <c r="E43" s="11">
        <v>1</v>
      </c>
    </row>
    <row r="44" spans="1:5" ht="24.75">
      <c r="A44" s="11" t="s">
        <v>363</v>
      </c>
      <c r="B44" s="11" t="s">
        <v>233</v>
      </c>
      <c r="C44" s="11" t="s">
        <v>325</v>
      </c>
      <c r="D44" s="11" t="s">
        <v>2433</v>
      </c>
      <c r="E44" s="11">
        <v>1</v>
      </c>
    </row>
    <row r="45" spans="1:5" ht="24.75">
      <c r="A45" s="11" t="s">
        <v>363</v>
      </c>
      <c r="B45" s="11" t="s">
        <v>233</v>
      </c>
      <c r="C45" s="11" t="s">
        <v>325</v>
      </c>
      <c r="D45" s="11" t="s">
        <v>2434</v>
      </c>
      <c r="E45" s="11">
        <v>1</v>
      </c>
    </row>
    <row r="46" spans="1:5" ht="24.75">
      <c r="A46" s="11" t="s">
        <v>363</v>
      </c>
      <c r="B46" s="11" t="s">
        <v>233</v>
      </c>
      <c r="C46" s="11" t="s">
        <v>325</v>
      </c>
      <c r="D46" s="11" t="s">
        <v>2434</v>
      </c>
      <c r="E46" s="11">
        <v>1</v>
      </c>
    </row>
    <row r="47" spans="1:5" ht="24.75">
      <c r="A47" s="11" t="s">
        <v>363</v>
      </c>
      <c r="B47" s="11" t="s">
        <v>233</v>
      </c>
      <c r="C47" s="11" t="s">
        <v>325</v>
      </c>
      <c r="D47" s="11" t="s">
        <v>2435</v>
      </c>
      <c r="E47" s="11">
        <v>1</v>
      </c>
    </row>
    <row r="48" spans="1:5" ht="24.75">
      <c r="A48" s="11" t="s">
        <v>363</v>
      </c>
      <c r="B48" s="11" t="s">
        <v>233</v>
      </c>
      <c r="C48" s="11" t="s">
        <v>325</v>
      </c>
      <c r="D48" s="11" t="s">
        <v>2435</v>
      </c>
      <c r="E48" s="11">
        <v>1</v>
      </c>
    </row>
    <row r="49" spans="1:5" ht="24.75">
      <c r="A49" s="11" t="s">
        <v>363</v>
      </c>
      <c r="B49" s="11" t="s">
        <v>233</v>
      </c>
      <c r="C49" s="11" t="s">
        <v>325</v>
      </c>
      <c r="D49" s="11" t="s">
        <v>2436</v>
      </c>
      <c r="E49" s="11">
        <v>1</v>
      </c>
    </row>
    <row r="50" spans="1:5" ht="24.75">
      <c r="A50" s="11" t="s">
        <v>363</v>
      </c>
      <c r="B50" s="11" t="s">
        <v>233</v>
      </c>
      <c r="C50" s="11" t="s">
        <v>325</v>
      </c>
      <c r="D50" s="11" t="s">
        <v>2436</v>
      </c>
      <c r="E50" s="11">
        <v>1</v>
      </c>
    </row>
    <row r="51" spans="1:5" ht="24.75">
      <c r="A51" s="11" t="s">
        <v>363</v>
      </c>
      <c r="B51" s="11" t="s">
        <v>233</v>
      </c>
      <c r="C51" s="11" t="s">
        <v>325</v>
      </c>
      <c r="D51" s="11" t="s">
        <v>2437</v>
      </c>
      <c r="E51" s="11">
        <v>1</v>
      </c>
    </row>
    <row r="52" spans="1:5" ht="24.75">
      <c r="A52" s="11" t="s">
        <v>363</v>
      </c>
      <c r="B52" s="11" t="s">
        <v>233</v>
      </c>
      <c r="C52" s="11" t="s">
        <v>325</v>
      </c>
      <c r="D52" s="11" t="s">
        <v>2437</v>
      </c>
      <c r="E52" s="11">
        <v>1</v>
      </c>
    </row>
    <row r="53" spans="1:5" ht="24.75">
      <c r="A53" s="11" t="s">
        <v>363</v>
      </c>
      <c r="B53" s="11" t="s">
        <v>233</v>
      </c>
      <c r="C53" s="11" t="s">
        <v>325</v>
      </c>
      <c r="D53" s="11" t="s">
        <v>2438</v>
      </c>
      <c r="E53" s="11">
        <v>1</v>
      </c>
    </row>
    <row r="54" spans="1:5" ht="24.75">
      <c r="A54" s="11" t="s">
        <v>363</v>
      </c>
      <c r="B54" s="11" t="s">
        <v>233</v>
      </c>
      <c r="C54" s="11" t="s">
        <v>325</v>
      </c>
      <c r="D54" s="11" t="s">
        <v>2438</v>
      </c>
      <c r="E54" s="11">
        <v>1</v>
      </c>
    </row>
    <row r="55" spans="1:5" ht="24.75">
      <c r="A55" s="11" t="s">
        <v>363</v>
      </c>
      <c r="B55" s="11" t="s">
        <v>233</v>
      </c>
      <c r="C55" s="11" t="s">
        <v>325</v>
      </c>
      <c r="D55" s="11" t="s">
        <v>2439</v>
      </c>
      <c r="E55" s="11">
        <v>1</v>
      </c>
    </row>
    <row r="56" spans="1:5" ht="24.75">
      <c r="A56" s="11" t="s">
        <v>363</v>
      </c>
      <c r="B56" s="11" t="s">
        <v>233</v>
      </c>
      <c r="C56" s="11" t="s">
        <v>325</v>
      </c>
      <c r="D56" s="11" t="s">
        <v>2439</v>
      </c>
      <c r="E56" s="11">
        <v>1</v>
      </c>
    </row>
    <row r="57" spans="1:5" ht="24.75">
      <c r="A57" s="11" t="s">
        <v>363</v>
      </c>
      <c r="B57" s="11" t="s">
        <v>233</v>
      </c>
      <c r="C57" s="11" t="s">
        <v>325</v>
      </c>
      <c r="D57" s="11" t="s">
        <v>2440</v>
      </c>
      <c r="E57" s="11">
        <v>1</v>
      </c>
    </row>
    <row r="58" spans="1:5" ht="24.75">
      <c r="A58" s="11" t="s">
        <v>363</v>
      </c>
      <c r="B58" s="11" t="s">
        <v>233</v>
      </c>
      <c r="C58" s="11" t="s">
        <v>325</v>
      </c>
      <c r="D58" s="11" t="s">
        <v>2440</v>
      </c>
      <c r="E58" s="11">
        <v>1</v>
      </c>
    </row>
    <row r="59" spans="1:5" ht="24.75">
      <c r="A59" s="11" t="s">
        <v>363</v>
      </c>
      <c r="B59" s="11" t="s">
        <v>233</v>
      </c>
      <c r="C59" s="11" t="s">
        <v>325</v>
      </c>
      <c r="D59" s="11" t="s">
        <v>2441</v>
      </c>
      <c r="E59" s="11">
        <v>1</v>
      </c>
    </row>
    <row r="60" spans="1:5" ht="24.75">
      <c r="A60" s="11" t="s">
        <v>363</v>
      </c>
      <c r="B60" s="11" t="s">
        <v>233</v>
      </c>
      <c r="C60" s="11" t="s">
        <v>325</v>
      </c>
      <c r="D60" s="11" t="s">
        <v>2441</v>
      </c>
      <c r="E60" s="11">
        <v>1</v>
      </c>
    </row>
    <row r="61" spans="1:5" ht="24.75">
      <c r="A61" s="11" t="s">
        <v>363</v>
      </c>
      <c r="B61" s="11" t="s">
        <v>233</v>
      </c>
      <c r="C61" s="11" t="s">
        <v>325</v>
      </c>
      <c r="D61" s="11" t="s">
        <v>2442</v>
      </c>
      <c r="E61" s="11">
        <v>1</v>
      </c>
    </row>
    <row r="62" spans="1:5" ht="24.75">
      <c r="A62" s="11" t="s">
        <v>363</v>
      </c>
      <c r="B62" s="11" t="s">
        <v>233</v>
      </c>
      <c r="C62" s="11" t="s">
        <v>325</v>
      </c>
      <c r="D62" s="11" t="s">
        <v>2442</v>
      </c>
      <c r="E62" s="11">
        <v>1</v>
      </c>
    </row>
    <row r="63" spans="1:5" ht="24.75">
      <c r="A63" s="11" t="s">
        <v>363</v>
      </c>
      <c r="B63" s="11" t="s">
        <v>233</v>
      </c>
      <c r="C63" s="11" t="s">
        <v>325</v>
      </c>
      <c r="D63" s="11" t="s">
        <v>2443</v>
      </c>
      <c r="E63" s="11">
        <v>1</v>
      </c>
    </row>
    <row r="64" spans="1:5" ht="24.75">
      <c r="A64" s="11" t="s">
        <v>363</v>
      </c>
      <c r="B64" s="11" t="s">
        <v>233</v>
      </c>
      <c r="C64" s="11" t="s">
        <v>325</v>
      </c>
      <c r="D64" s="11" t="s">
        <v>2443</v>
      </c>
      <c r="E64" s="11">
        <v>1</v>
      </c>
    </row>
    <row r="65" spans="1:5" ht="24.75">
      <c r="A65" s="11" t="s">
        <v>363</v>
      </c>
      <c r="B65" s="11" t="s">
        <v>233</v>
      </c>
      <c r="C65" s="11" t="s">
        <v>325</v>
      </c>
      <c r="D65" s="11" t="s">
        <v>2444</v>
      </c>
      <c r="E65" s="11">
        <v>1</v>
      </c>
    </row>
    <row r="66" spans="1:5" ht="24.75">
      <c r="A66" s="11" t="s">
        <v>363</v>
      </c>
      <c r="B66" s="11" t="s">
        <v>233</v>
      </c>
      <c r="C66" s="11" t="s">
        <v>325</v>
      </c>
      <c r="D66" s="11" t="s">
        <v>2444</v>
      </c>
      <c r="E66" s="11">
        <v>1</v>
      </c>
    </row>
    <row r="67" spans="1:5" ht="24.75">
      <c r="A67" s="11" t="s">
        <v>363</v>
      </c>
      <c r="B67" s="11" t="s">
        <v>233</v>
      </c>
      <c r="C67" s="11" t="s">
        <v>325</v>
      </c>
      <c r="D67" s="11" t="s">
        <v>2445</v>
      </c>
      <c r="E67" s="11">
        <v>1</v>
      </c>
    </row>
    <row r="68" spans="1:5" ht="24.75">
      <c r="A68" s="11" t="s">
        <v>363</v>
      </c>
      <c r="B68" s="11" t="s">
        <v>233</v>
      </c>
      <c r="C68" s="11" t="s">
        <v>325</v>
      </c>
      <c r="D68" s="11" t="s">
        <v>2445</v>
      </c>
      <c r="E68" s="11">
        <v>1</v>
      </c>
    </row>
    <row r="69" spans="1:5" ht="24.75">
      <c r="A69" s="11" t="s">
        <v>363</v>
      </c>
      <c r="B69" s="11" t="s">
        <v>233</v>
      </c>
      <c r="C69" s="11" t="s">
        <v>325</v>
      </c>
      <c r="D69" s="11" t="s">
        <v>2446</v>
      </c>
      <c r="E69" s="11">
        <v>1</v>
      </c>
    </row>
    <row r="70" spans="1:5" ht="24.75">
      <c r="A70" s="11" t="s">
        <v>363</v>
      </c>
      <c r="B70" s="11" t="s">
        <v>233</v>
      </c>
      <c r="C70" s="11" t="s">
        <v>325</v>
      </c>
      <c r="D70" s="11" t="s">
        <v>2446</v>
      </c>
      <c r="E70" s="11">
        <v>1</v>
      </c>
    </row>
    <row r="71" spans="1:5" ht="24.75">
      <c r="A71" s="11" t="s">
        <v>363</v>
      </c>
      <c r="B71" s="11" t="s">
        <v>233</v>
      </c>
      <c r="C71" s="11" t="s">
        <v>325</v>
      </c>
      <c r="D71" s="11" t="s">
        <v>2447</v>
      </c>
      <c r="E71" s="11">
        <v>1</v>
      </c>
    </row>
    <row r="72" spans="1:5" ht="24.75">
      <c r="A72" s="11" t="s">
        <v>363</v>
      </c>
      <c r="B72" s="11" t="s">
        <v>233</v>
      </c>
      <c r="C72" s="11" t="s">
        <v>325</v>
      </c>
      <c r="D72" s="11" t="s">
        <v>2447</v>
      </c>
      <c r="E72" s="11">
        <v>1</v>
      </c>
    </row>
    <row r="73" spans="1:5" ht="24.75">
      <c r="A73" s="11" t="s">
        <v>363</v>
      </c>
      <c r="B73" s="11" t="s">
        <v>233</v>
      </c>
      <c r="C73" s="11" t="s">
        <v>325</v>
      </c>
      <c r="D73" s="11" t="s">
        <v>2448</v>
      </c>
      <c r="E73" s="11">
        <v>1</v>
      </c>
    </row>
    <row r="74" spans="1:5" ht="24.75">
      <c r="A74" s="11" t="s">
        <v>363</v>
      </c>
      <c r="B74" s="11" t="s">
        <v>233</v>
      </c>
      <c r="C74" s="11" t="s">
        <v>325</v>
      </c>
      <c r="D74" s="11" t="s">
        <v>2448</v>
      </c>
      <c r="E74" s="11">
        <v>1</v>
      </c>
    </row>
    <row r="75" spans="1:5" ht="24.75">
      <c r="A75" s="11" t="s">
        <v>363</v>
      </c>
      <c r="B75" s="11" t="s">
        <v>233</v>
      </c>
      <c r="C75" s="11" t="s">
        <v>325</v>
      </c>
      <c r="D75" s="11" t="s">
        <v>2449</v>
      </c>
      <c r="E75" s="11">
        <v>1</v>
      </c>
    </row>
    <row r="76" spans="1:5" ht="24.75">
      <c r="A76" s="11" t="s">
        <v>363</v>
      </c>
      <c r="B76" s="11" t="s">
        <v>233</v>
      </c>
      <c r="C76" s="11" t="s">
        <v>325</v>
      </c>
      <c r="D76" s="11" t="s">
        <v>2449</v>
      </c>
      <c r="E76" s="11">
        <v>1</v>
      </c>
    </row>
    <row r="77" spans="1:5" ht="24.75">
      <c r="A77" s="11" t="s">
        <v>363</v>
      </c>
      <c r="B77" s="11" t="s">
        <v>233</v>
      </c>
      <c r="C77" s="11" t="s">
        <v>325</v>
      </c>
      <c r="D77" s="11" t="s">
        <v>2450</v>
      </c>
      <c r="E77" s="11">
        <v>1</v>
      </c>
    </row>
    <row r="78" spans="1:5" ht="24.75">
      <c r="A78" s="11" t="s">
        <v>363</v>
      </c>
      <c r="B78" s="11" t="s">
        <v>233</v>
      </c>
      <c r="C78" s="11" t="s">
        <v>325</v>
      </c>
      <c r="D78" s="11" t="s">
        <v>2450</v>
      </c>
      <c r="E78" s="11">
        <v>1</v>
      </c>
    </row>
    <row r="79" spans="1:5" ht="24.75">
      <c r="A79" s="11" t="s">
        <v>363</v>
      </c>
      <c r="B79" s="11" t="s">
        <v>233</v>
      </c>
      <c r="C79" s="11" t="s">
        <v>325</v>
      </c>
      <c r="D79" s="11" t="s">
        <v>2451</v>
      </c>
      <c r="E79" s="11">
        <v>1</v>
      </c>
    </row>
    <row r="80" spans="1:5" ht="24.75">
      <c r="A80" s="11" t="s">
        <v>363</v>
      </c>
      <c r="B80" s="11" t="s">
        <v>233</v>
      </c>
      <c r="C80" s="11" t="s">
        <v>325</v>
      </c>
      <c r="D80" s="11" t="s">
        <v>2451</v>
      </c>
      <c r="E80" s="11">
        <v>1</v>
      </c>
    </row>
    <row r="81" spans="1:5" ht="24.75">
      <c r="A81" s="11" t="s">
        <v>363</v>
      </c>
      <c r="B81" s="11" t="s">
        <v>233</v>
      </c>
      <c r="C81" s="11" t="s">
        <v>325</v>
      </c>
      <c r="D81" s="11" t="s">
        <v>2452</v>
      </c>
      <c r="E81" s="11">
        <v>1</v>
      </c>
    </row>
    <row r="82" spans="1:5" ht="24.75">
      <c r="A82" s="11" t="s">
        <v>363</v>
      </c>
      <c r="B82" s="11" t="s">
        <v>233</v>
      </c>
      <c r="C82" s="11" t="s">
        <v>325</v>
      </c>
      <c r="D82" s="11" t="s">
        <v>2452</v>
      </c>
      <c r="E82" s="11">
        <v>1</v>
      </c>
    </row>
    <row r="83" spans="1:5" ht="24.75">
      <c r="A83" s="11" t="s">
        <v>363</v>
      </c>
      <c r="B83" s="11" t="s">
        <v>233</v>
      </c>
      <c r="C83" s="11" t="s">
        <v>325</v>
      </c>
      <c r="D83" s="11" t="s">
        <v>2453</v>
      </c>
      <c r="E83" s="11">
        <v>1</v>
      </c>
    </row>
    <row r="84" spans="1:5" ht="24.75">
      <c r="A84" s="11" t="s">
        <v>363</v>
      </c>
      <c r="B84" s="11" t="s">
        <v>233</v>
      </c>
      <c r="C84" s="11" t="s">
        <v>325</v>
      </c>
      <c r="D84" s="11" t="s">
        <v>2453</v>
      </c>
      <c r="E84" s="11">
        <v>1</v>
      </c>
    </row>
    <row r="85" spans="1:5" ht="24.75">
      <c r="A85" s="11" t="s">
        <v>363</v>
      </c>
      <c r="B85" s="11" t="s">
        <v>233</v>
      </c>
      <c r="C85" s="11" t="s">
        <v>325</v>
      </c>
      <c r="D85" s="11" t="s">
        <v>2454</v>
      </c>
      <c r="E85" s="11">
        <v>1</v>
      </c>
    </row>
    <row r="86" spans="1:5" ht="24.75">
      <c r="A86" s="11" t="s">
        <v>363</v>
      </c>
      <c r="B86" s="11" t="s">
        <v>233</v>
      </c>
      <c r="C86" s="11" t="s">
        <v>325</v>
      </c>
      <c r="D86" s="11" t="s">
        <v>2454</v>
      </c>
      <c r="E86" s="11">
        <v>1</v>
      </c>
    </row>
    <row r="87" spans="1:5" ht="24.75">
      <c r="A87" s="11" t="s">
        <v>363</v>
      </c>
      <c r="B87" s="11" t="s">
        <v>233</v>
      </c>
      <c r="C87" s="11" t="s">
        <v>325</v>
      </c>
      <c r="D87" s="11" t="s">
        <v>2455</v>
      </c>
      <c r="E87" s="11">
        <v>1</v>
      </c>
    </row>
    <row r="88" spans="1:5" ht="24.75">
      <c r="A88" s="11" t="s">
        <v>363</v>
      </c>
      <c r="B88" s="11" t="s">
        <v>233</v>
      </c>
      <c r="C88" s="11" t="s">
        <v>325</v>
      </c>
      <c r="D88" s="11" t="s">
        <v>2455</v>
      </c>
      <c r="E88" s="11">
        <v>1</v>
      </c>
    </row>
    <row r="89" spans="1:5" ht="24.75">
      <c r="A89" s="11" t="s">
        <v>363</v>
      </c>
      <c r="B89" s="11" t="s">
        <v>233</v>
      </c>
      <c r="C89" s="11" t="s">
        <v>325</v>
      </c>
      <c r="D89" s="11" t="s">
        <v>2456</v>
      </c>
      <c r="E89" s="11">
        <v>1</v>
      </c>
    </row>
    <row r="90" spans="1:5" ht="24.75">
      <c r="A90" s="11" t="s">
        <v>363</v>
      </c>
      <c r="B90" s="11" t="s">
        <v>233</v>
      </c>
      <c r="C90" s="11" t="s">
        <v>325</v>
      </c>
      <c r="D90" s="11" t="s">
        <v>2456</v>
      </c>
      <c r="E90" s="11">
        <v>1</v>
      </c>
    </row>
    <row r="91" spans="1:5" ht="24.75">
      <c r="A91" s="11" t="s">
        <v>363</v>
      </c>
      <c r="B91" s="11" t="s">
        <v>233</v>
      </c>
      <c r="C91" s="11" t="s">
        <v>325</v>
      </c>
      <c r="D91" s="11" t="s">
        <v>2457</v>
      </c>
      <c r="E91" s="11">
        <v>1</v>
      </c>
    </row>
    <row r="92" spans="1:5" ht="24.75">
      <c r="A92" s="11" t="s">
        <v>363</v>
      </c>
      <c r="B92" s="11" t="s">
        <v>233</v>
      </c>
      <c r="C92" s="11" t="s">
        <v>325</v>
      </c>
      <c r="D92" s="11" t="s">
        <v>2457</v>
      </c>
      <c r="E92" s="11">
        <v>1</v>
      </c>
    </row>
    <row r="93" spans="1:5" ht="24.75">
      <c r="A93" s="11" t="s">
        <v>363</v>
      </c>
      <c r="B93" s="11" t="s">
        <v>233</v>
      </c>
      <c r="C93" s="11" t="s">
        <v>325</v>
      </c>
      <c r="D93" s="11" t="s">
        <v>2458</v>
      </c>
      <c r="E93" s="11">
        <v>1</v>
      </c>
    </row>
    <row r="94" spans="1:5" ht="24.75">
      <c r="A94" s="11" t="s">
        <v>363</v>
      </c>
      <c r="B94" s="11" t="s">
        <v>233</v>
      </c>
      <c r="C94" s="11" t="s">
        <v>325</v>
      </c>
      <c r="D94" s="11" t="s">
        <v>2458</v>
      </c>
      <c r="E94" s="11">
        <v>1</v>
      </c>
    </row>
    <row r="95" spans="1:5" ht="24.75">
      <c r="A95" s="11" t="s">
        <v>363</v>
      </c>
      <c r="B95" s="11" t="s">
        <v>233</v>
      </c>
      <c r="C95" s="11" t="s">
        <v>325</v>
      </c>
      <c r="D95" s="11" t="s">
        <v>2459</v>
      </c>
      <c r="E95" s="11">
        <v>1</v>
      </c>
    </row>
    <row r="96" spans="1:5" ht="24.75">
      <c r="A96" s="11" t="s">
        <v>363</v>
      </c>
      <c r="B96" s="11" t="s">
        <v>233</v>
      </c>
      <c r="C96" s="11" t="s">
        <v>325</v>
      </c>
      <c r="D96" s="11" t="s">
        <v>2459</v>
      </c>
      <c r="E96" s="11">
        <v>1</v>
      </c>
    </row>
    <row r="97" spans="1:5" ht="24.75">
      <c r="A97" s="11" t="s">
        <v>363</v>
      </c>
      <c r="B97" s="11" t="s">
        <v>233</v>
      </c>
      <c r="C97" s="11" t="s">
        <v>325</v>
      </c>
      <c r="D97" s="11" t="s">
        <v>2460</v>
      </c>
      <c r="E97" s="11">
        <v>1</v>
      </c>
    </row>
    <row r="98" spans="1:5" ht="24.75">
      <c r="A98" s="11" t="s">
        <v>363</v>
      </c>
      <c r="B98" s="11" t="s">
        <v>233</v>
      </c>
      <c r="C98" s="11" t="s">
        <v>325</v>
      </c>
      <c r="D98" s="11" t="s">
        <v>2460</v>
      </c>
      <c r="E98" s="11">
        <v>1</v>
      </c>
    </row>
    <row r="99" spans="1:5" ht="24.75">
      <c r="A99" s="11" t="s">
        <v>363</v>
      </c>
      <c r="B99" s="11" t="s">
        <v>233</v>
      </c>
      <c r="C99" s="11" t="s">
        <v>325</v>
      </c>
      <c r="D99" s="11" t="s">
        <v>2461</v>
      </c>
      <c r="E99" s="11">
        <v>1</v>
      </c>
    </row>
    <row r="100" spans="1:5" ht="24.75">
      <c r="A100" s="11" t="s">
        <v>363</v>
      </c>
      <c r="B100" s="11" t="s">
        <v>233</v>
      </c>
      <c r="C100" s="11" t="s">
        <v>325</v>
      </c>
      <c r="D100" s="11" t="s">
        <v>2461</v>
      </c>
      <c r="E100" s="11">
        <v>1</v>
      </c>
    </row>
    <row r="101" spans="1:5" ht="24.75">
      <c r="A101" s="11" t="s">
        <v>363</v>
      </c>
      <c r="B101" s="11" t="s">
        <v>233</v>
      </c>
      <c r="C101" s="11" t="s">
        <v>325</v>
      </c>
      <c r="D101" s="11" t="s">
        <v>2462</v>
      </c>
      <c r="E101" s="11">
        <v>1</v>
      </c>
    </row>
    <row r="102" spans="1:5" ht="24.75">
      <c r="A102" s="11" t="s">
        <v>363</v>
      </c>
      <c r="B102" s="11" t="s">
        <v>233</v>
      </c>
      <c r="C102" s="11" t="s">
        <v>325</v>
      </c>
      <c r="D102" s="11" t="s">
        <v>2462</v>
      </c>
      <c r="E102" s="11">
        <v>1</v>
      </c>
    </row>
    <row r="103" spans="1:5" ht="24.75">
      <c r="A103" s="11" t="s">
        <v>363</v>
      </c>
      <c r="B103" s="11" t="s">
        <v>233</v>
      </c>
      <c r="C103" s="11" t="s">
        <v>325</v>
      </c>
      <c r="D103" s="11" t="s">
        <v>2463</v>
      </c>
      <c r="E103" s="11">
        <v>1</v>
      </c>
    </row>
    <row r="104" spans="1:5" ht="24.75">
      <c r="A104" s="11" t="s">
        <v>363</v>
      </c>
      <c r="B104" s="11" t="s">
        <v>233</v>
      </c>
      <c r="C104" s="11" t="s">
        <v>325</v>
      </c>
      <c r="D104" s="11" t="s">
        <v>2463</v>
      </c>
      <c r="E104" s="11">
        <v>1</v>
      </c>
    </row>
    <row r="105" spans="1:5" ht="24.75">
      <c r="A105" s="11" t="s">
        <v>363</v>
      </c>
      <c r="B105" s="11" t="s">
        <v>233</v>
      </c>
      <c r="C105" s="11" t="s">
        <v>325</v>
      </c>
      <c r="D105" s="11" t="s">
        <v>2464</v>
      </c>
      <c r="E105" s="11">
        <v>1</v>
      </c>
    </row>
    <row r="106" spans="1:5" ht="24.75">
      <c r="A106" s="11" t="s">
        <v>363</v>
      </c>
      <c r="B106" s="11" t="s">
        <v>233</v>
      </c>
      <c r="C106" s="11" t="s">
        <v>325</v>
      </c>
      <c r="D106" s="11" t="s">
        <v>2464</v>
      </c>
      <c r="E106" s="11">
        <v>1</v>
      </c>
    </row>
    <row r="107" spans="1:5" ht="24.75">
      <c r="A107" s="11" t="s">
        <v>363</v>
      </c>
      <c r="B107" s="11" t="s">
        <v>233</v>
      </c>
      <c r="C107" s="11" t="s">
        <v>325</v>
      </c>
      <c r="D107" s="11" t="s">
        <v>2465</v>
      </c>
      <c r="E107" s="11">
        <v>1</v>
      </c>
    </row>
    <row r="108" spans="1:5" ht="24.75">
      <c r="A108" s="11" t="s">
        <v>363</v>
      </c>
      <c r="B108" s="11" t="s">
        <v>233</v>
      </c>
      <c r="C108" s="11" t="s">
        <v>325</v>
      </c>
      <c r="D108" s="11" t="s">
        <v>2465</v>
      </c>
      <c r="E108" s="11">
        <v>1</v>
      </c>
    </row>
    <row r="109" spans="1:5" ht="24.75">
      <c r="A109" s="11" t="s">
        <v>363</v>
      </c>
      <c r="B109" s="11" t="s">
        <v>233</v>
      </c>
      <c r="C109" s="11" t="s">
        <v>325</v>
      </c>
      <c r="D109" s="11" t="s">
        <v>2466</v>
      </c>
      <c r="E109" s="11">
        <v>1</v>
      </c>
    </row>
    <row r="110" spans="1:5" ht="24.75">
      <c r="A110" s="11" t="s">
        <v>363</v>
      </c>
      <c r="B110" s="11" t="s">
        <v>233</v>
      </c>
      <c r="C110" s="11" t="s">
        <v>325</v>
      </c>
      <c r="D110" s="11" t="s">
        <v>2466</v>
      </c>
      <c r="E110" s="11">
        <v>1</v>
      </c>
    </row>
    <row r="111" spans="1:5" ht="24.75">
      <c r="A111" s="11" t="s">
        <v>363</v>
      </c>
      <c r="B111" s="11" t="s">
        <v>233</v>
      </c>
      <c r="C111" s="11" t="s">
        <v>325</v>
      </c>
      <c r="D111" s="11" t="s">
        <v>2467</v>
      </c>
      <c r="E111" s="11">
        <v>1</v>
      </c>
    </row>
    <row r="112" spans="1:5" ht="24.75">
      <c r="A112" s="11" t="s">
        <v>363</v>
      </c>
      <c r="B112" s="11" t="s">
        <v>233</v>
      </c>
      <c r="C112" s="11" t="s">
        <v>325</v>
      </c>
      <c r="D112" s="11" t="s">
        <v>2467</v>
      </c>
      <c r="E112" s="11">
        <v>1</v>
      </c>
    </row>
    <row r="113" spans="1:5" ht="24.75">
      <c r="A113" s="11" t="s">
        <v>363</v>
      </c>
      <c r="B113" s="11" t="s">
        <v>233</v>
      </c>
      <c r="C113" s="11" t="s">
        <v>325</v>
      </c>
      <c r="D113" s="11" t="s">
        <v>2468</v>
      </c>
      <c r="E113" s="11">
        <v>1</v>
      </c>
    </row>
    <row r="114" spans="1:5" ht="24.75">
      <c r="A114" s="11" t="s">
        <v>363</v>
      </c>
      <c r="B114" s="11" t="s">
        <v>233</v>
      </c>
      <c r="C114" s="11" t="s">
        <v>325</v>
      </c>
      <c r="D114" s="11" t="s">
        <v>2468</v>
      </c>
      <c r="E114" s="11">
        <v>1</v>
      </c>
    </row>
    <row r="115" spans="1:5" ht="24.75">
      <c r="A115" s="11" t="s">
        <v>363</v>
      </c>
      <c r="B115" s="11" t="s">
        <v>233</v>
      </c>
      <c r="C115" s="11" t="s">
        <v>325</v>
      </c>
      <c r="D115" s="11" t="s">
        <v>2469</v>
      </c>
      <c r="E115" s="11">
        <v>1</v>
      </c>
    </row>
    <row r="116" spans="1:5" ht="24.75">
      <c r="A116" s="11" t="s">
        <v>363</v>
      </c>
      <c r="B116" s="11" t="s">
        <v>233</v>
      </c>
      <c r="C116" s="11" t="s">
        <v>325</v>
      </c>
      <c r="D116" s="11" t="s">
        <v>2469</v>
      </c>
      <c r="E116" s="11">
        <v>1</v>
      </c>
    </row>
    <row r="117" spans="1:5" ht="24.75">
      <c r="A117" s="11" t="s">
        <v>363</v>
      </c>
      <c r="B117" s="11" t="s">
        <v>233</v>
      </c>
      <c r="C117" s="11" t="s">
        <v>325</v>
      </c>
      <c r="D117" s="11" t="s">
        <v>2470</v>
      </c>
      <c r="E117" s="11">
        <v>1</v>
      </c>
    </row>
    <row r="118" spans="1:5" ht="24.75">
      <c r="A118" s="11" t="s">
        <v>363</v>
      </c>
      <c r="B118" s="11" t="s">
        <v>233</v>
      </c>
      <c r="C118" s="11" t="s">
        <v>325</v>
      </c>
      <c r="D118" s="11" t="s">
        <v>2470</v>
      </c>
      <c r="E118" s="11">
        <v>1</v>
      </c>
    </row>
    <row r="119" spans="1:5" ht="24.75">
      <c r="A119" s="11" t="s">
        <v>363</v>
      </c>
      <c r="B119" s="11" t="s">
        <v>233</v>
      </c>
      <c r="C119" s="11" t="s">
        <v>325</v>
      </c>
      <c r="D119" s="11" t="s">
        <v>2471</v>
      </c>
      <c r="E119" s="11">
        <v>1</v>
      </c>
    </row>
    <row r="120" spans="1:5" ht="24.75">
      <c r="A120" s="11" t="s">
        <v>363</v>
      </c>
      <c r="B120" s="11" t="s">
        <v>233</v>
      </c>
      <c r="C120" s="11" t="s">
        <v>325</v>
      </c>
      <c r="D120" s="11" t="s">
        <v>2471</v>
      </c>
      <c r="E120" s="11">
        <v>1</v>
      </c>
    </row>
    <row r="121" spans="1:5" ht="24.75">
      <c r="A121" s="11" t="s">
        <v>363</v>
      </c>
      <c r="B121" s="11" t="s">
        <v>233</v>
      </c>
      <c r="C121" s="11" t="s">
        <v>325</v>
      </c>
      <c r="D121" s="11" t="s">
        <v>2472</v>
      </c>
      <c r="E121" s="11">
        <v>1</v>
      </c>
    </row>
    <row r="122" spans="1:5" ht="24.75">
      <c r="A122" s="11" t="s">
        <v>363</v>
      </c>
      <c r="B122" s="11" t="s">
        <v>233</v>
      </c>
      <c r="C122" s="11" t="s">
        <v>325</v>
      </c>
      <c r="D122" s="11" t="s">
        <v>2472</v>
      </c>
      <c r="E122" s="11">
        <v>1</v>
      </c>
    </row>
    <row r="123" spans="1:5" ht="24.75">
      <c r="A123" s="11" t="s">
        <v>363</v>
      </c>
      <c r="B123" s="11" t="s">
        <v>233</v>
      </c>
      <c r="C123" s="11" t="s">
        <v>325</v>
      </c>
      <c r="D123" s="11" t="s">
        <v>2473</v>
      </c>
      <c r="E123" s="11">
        <v>1</v>
      </c>
    </row>
    <row r="124" spans="1:5" ht="24.75">
      <c r="A124" s="11" t="s">
        <v>363</v>
      </c>
      <c r="B124" s="11" t="s">
        <v>233</v>
      </c>
      <c r="C124" s="11" t="s">
        <v>325</v>
      </c>
      <c r="D124" s="11" t="s">
        <v>2473</v>
      </c>
      <c r="E124" s="11">
        <v>1</v>
      </c>
    </row>
    <row r="125" spans="1:5" ht="24.75">
      <c r="A125" s="11" t="s">
        <v>363</v>
      </c>
      <c r="B125" s="11" t="s">
        <v>233</v>
      </c>
      <c r="C125" s="11" t="s">
        <v>325</v>
      </c>
      <c r="D125" s="11" t="s">
        <v>2474</v>
      </c>
      <c r="E125" s="11">
        <v>1</v>
      </c>
    </row>
    <row r="126" spans="1:5" ht="24.75">
      <c r="A126" s="11" t="s">
        <v>363</v>
      </c>
      <c r="B126" s="11" t="s">
        <v>233</v>
      </c>
      <c r="C126" s="11" t="s">
        <v>325</v>
      </c>
      <c r="D126" s="11" t="s">
        <v>2474</v>
      </c>
      <c r="E126" s="11">
        <v>1</v>
      </c>
    </row>
    <row r="127" spans="1:5" ht="24.75">
      <c r="A127" s="11" t="s">
        <v>363</v>
      </c>
      <c r="B127" s="11" t="s">
        <v>233</v>
      </c>
      <c r="C127" s="11" t="s">
        <v>325</v>
      </c>
      <c r="D127" s="11" t="s">
        <v>2475</v>
      </c>
      <c r="E127" s="11">
        <v>1</v>
      </c>
    </row>
    <row r="128" spans="1:5" ht="24.75">
      <c r="A128" s="11" t="s">
        <v>363</v>
      </c>
      <c r="B128" s="11" t="s">
        <v>233</v>
      </c>
      <c r="C128" s="11" t="s">
        <v>325</v>
      </c>
      <c r="D128" s="11" t="s">
        <v>2475</v>
      </c>
      <c r="E128" s="11">
        <v>1</v>
      </c>
    </row>
    <row r="129" spans="1:5" ht="24.75">
      <c r="A129" s="11" t="s">
        <v>363</v>
      </c>
      <c r="B129" s="11" t="s">
        <v>233</v>
      </c>
      <c r="C129" s="11" t="s">
        <v>325</v>
      </c>
      <c r="D129" s="11" t="s">
        <v>2476</v>
      </c>
      <c r="E129" s="11">
        <v>1</v>
      </c>
    </row>
    <row r="130" spans="1:5" ht="24.75">
      <c r="A130" s="11" t="s">
        <v>363</v>
      </c>
      <c r="B130" s="11" t="s">
        <v>233</v>
      </c>
      <c r="C130" s="11" t="s">
        <v>325</v>
      </c>
      <c r="D130" s="11" t="s">
        <v>2476</v>
      </c>
      <c r="E130" s="11">
        <v>1</v>
      </c>
    </row>
    <row r="131" spans="1:5" ht="24.75">
      <c r="A131" s="11" t="s">
        <v>363</v>
      </c>
      <c r="B131" s="11" t="s">
        <v>233</v>
      </c>
      <c r="C131" s="11" t="s">
        <v>325</v>
      </c>
      <c r="D131" s="11" t="s">
        <v>2477</v>
      </c>
      <c r="E131" s="11">
        <v>1</v>
      </c>
    </row>
    <row r="132" spans="1:5" ht="24.75">
      <c r="A132" s="11" t="s">
        <v>363</v>
      </c>
      <c r="B132" s="11" t="s">
        <v>233</v>
      </c>
      <c r="C132" s="11" t="s">
        <v>325</v>
      </c>
      <c r="D132" s="11" t="s">
        <v>2477</v>
      </c>
      <c r="E132" s="11">
        <v>1</v>
      </c>
    </row>
    <row r="133" spans="1:5" ht="24.75">
      <c r="A133" s="11" t="s">
        <v>363</v>
      </c>
      <c r="B133" s="11" t="s">
        <v>233</v>
      </c>
      <c r="C133" s="11" t="s">
        <v>325</v>
      </c>
      <c r="D133" s="11" t="s">
        <v>2478</v>
      </c>
      <c r="E133" s="11">
        <v>1</v>
      </c>
    </row>
    <row r="134" spans="1:5" ht="24.75">
      <c r="A134" s="11" t="s">
        <v>363</v>
      </c>
      <c r="B134" s="11" t="s">
        <v>233</v>
      </c>
      <c r="C134" s="11" t="s">
        <v>325</v>
      </c>
      <c r="D134" s="11" t="s">
        <v>2478</v>
      </c>
      <c r="E134" s="11">
        <v>1</v>
      </c>
    </row>
    <row r="135" spans="1:5" ht="24.75">
      <c r="A135" s="11" t="s">
        <v>363</v>
      </c>
      <c r="B135" s="11" t="s">
        <v>233</v>
      </c>
      <c r="C135" s="11" t="s">
        <v>325</v>
      </c>
      <c r="D135" s="11" t="s">
        <v>2479</v>
      </c>
      <c r="E135" s="11">
        <v>1</v>
      </c>
    </row>
    <row r="136" spans="1:5" ht="24.75">
      <c r="A136" s="11" t="s">
        <v>363</v>
      </c>
      <c r="B136" s="11" t="s">
        <v>233</v>
      </c>
      <c r="C136" s="11" t="s">
        <v>325</v>
      </c>
      <c r="D136" s="11" t="s">
        <v>2479</v>
      </c>
      <c r="E136" s="11">
        <v>1</v>
      </c>
    </row>
    <row r="137" spans="1:5" ht="24.75">
      <c r="A137" s="11" t="s">
        <v>363</v>
      </c>
      <c r="B137" s="11" t="s">
        <v>233</v>
      </c>
      <c r="C137" s="11" t="s">
        <v>325</v>
      </c>
      <c r="D137" s="11" t="s">
        <v>2480</v>
      </c>
      <c r="E137" s="11">
        <v>1</v>
      </c>
    </row>
    <row r="138" spans="1:5" ht="24.75">
      <c r="A138" s="11" t="s">
        <v>363</v>
      </c>
      <c r="B138" s="11" t="s">
        <v>233</v>
      </c>
      <c r="C138" s="11" t="s">
        <v>325</v>
      </c>
      <c r="D138" s="11" t="s">
        <v>2480</v>
      </c>
      <c r="E138" s="11">
        <v>1</v>
      </c>
    </row>
    <row r="139" spans="1:5" ht="24.75">
      <c r="A139" s="11" t="s">
        <v>363</v>
      </c>
      <c r="B139" s="11" t="s">
        <v>233</v>
      </c>
      <c r="C139" s="11" t="s">
        <v>325</v>
      </c>
      <c r="D139" s="11" t="s">
        <v>2481</v>
      </c>
      <c r="E139" s="11">
        <v>1</v>
      </c>
    </row>
    <row r="140" spans="1:5" ht="24.75">
      <c r="A140" s="11" t="s">
        <v>363</v>
      </c>
      <c r="B140" s="11" t="s">
        <v>233</v>
      </c>
      <c r="C140" s="11" t="s">
        <v>325</v>
      </c>
      <c r="D140" s="11" t="s">
        <v>2481</v>
      </c>
      <c r="E140" s="11">
        <v>1</v>
      </c>
    </row>
    <row r="141" spans="1:5" ht="24.75">
      <c r="A141" s="11" t="s">
        <v>363</v>
      </c>
      <c r="B141" s="11" t="s">
        <v>233</v>
      </c>
      <c r="C141" s="11" t="s">
        <v>325</v>
      </c>
      <c r="D141" s="11" t="s">
        <v>2482</v>
      </c>
      <c r="E141" s="11">
        <v>1</v>
      </c>
    </row>
    <row r="142" spans="1:5" ht="24.75">
      <c r="A142" s="11" t="s">
        <v>363</v>
      </c>
      <c r="B142" s="11" t="s">
        <v>233</v>
      </c>
      <c r="C142" s="11" t="s">
        <v>325</v>
      </c>
      <c r="D142" s="11" t="s">
        <v>2482</v>
      </c>
      <c r="E142" s="11">
        <v>1</v>
      </c>
    </row>
    <row r="143" spans="1:5" ht="24.75">
      <c r="A143" s="11" t="s">
        <v>363</v>
      </c>
      <c r="B143" s="11" t="s">
        <v>233</v>
      </c>
      <c r="C143" s="11" t="s">
        <v>325</v>
      </c>
      <c r="D143" s="11" t="s">
        <v>2483</v>
      </c>
      <c r="E143" s="11">
        <v>1</v>
      </c>
    </row>
    <row r="144" spans="1:5" ht="24.75">
      <c r="A144" s="11" t="s">
        <v>363</v>
      </c>
      <c r="B144" s="11" t="s">
        <v>233</v>
      </c>
      <c r="C144" s="11" t="s">
        <v>325</v>
      </c>
      <c r="D144" s="11" t="s">
        <v>2483</v>
      </c>
      <c r="E144" s="11">
        <v>1</v>
      </c>
    </row>
    <row r="145" spans="1:5" ht="24.75">
      <c r="A145" s="11" t="s">
        <v>363</v>
      </c>
      <c r="B145" s="11" t="s">
        <v>233</v>
      </c>
      <c r="C145" s="11" t="s">
        <v>325</v>
      </c>
      <c r="D145" s="11" t="s">
        <v>2484</v>
      </c>
      <c r="E145" s="11">
        <v>1</v>
      </c>
    </row>
    <row r="146" spans="1:5" ht="24.75">
      <c r="A146" s="11" t="s">
        <v>363</v>
      </c>
      <c r="B146" s="11" t="s">
        <v>233</v>
      </c>
      <c r="C146" s="11" t="s">
        <v>325</v>
      </c>
      <c r="D146" s="11" t="s">
        <v>2484</v>
      </c>
      <c r="E146" s="11">
        <v>1</v>
      </c>
    </row>
    <row r="147" spans="1:5" ht="24.75">
      <c r="A147" s="11" t="s">
        <v>363</v>
      </c>
      <c r="B147" s="11" t="s">
        <v>233</v>
      </c>
      <c r="C147" s="11" t="s">
        <v>325</v>
      </c>
      <c r="D147" s="11" t="s">
        <v>2485</v>
      </c>
      <c r="E147" s="11">
        <v>1</v>
      </c>
    </row>
    <row r="148" spans="1:5" ht="24.75">
      <c r="A148" s="11" t="s">
        <v>363</v>
      </c>
      <c r="B148" s="11" t="s">
        <v>233</v>
      </c>
      <c r="C148" s="11" t="s">
        <v>325</v>
      </c>
      <c r="D148" s="11" t="s">
        <v>2485</v>
      </c>
      <c r="E148" s="11">
        <v>1</v>
      </c>
    </row>
    <row r="149" spans="1:5" ht="24.75">
      <c r="A149" s="11" t="s">
        <v>363</v>
      </c>
      <c r="B149" s="11" t="s">
        <v>233</v>
      </c>
      <c r="C149" s="11" t="s">
        <v>325</v>
      </c>
      <c r="D149" s="11" t="s">
        <v>2486</v>
      </c>
      <c r="E149" s="11">
        <v>1</v>
      </c>
    </row>
    <row r="150" spans="1:5" ht="24.75">
      <c r="A150" s="11" t="s">
        <v>363</v>
      </c>
      <c r="B150" s="11" t="s">
        <v>233</v>
      </c>
      <c r="C150" s="11" t="s">
        <v>325</v>
      </c>
      <c r="D150" s="11" t="s">
        <v>2486</v>
      </c>
      <c r="E150" s="11">
        <v>1</v>
      </c>
    </row>
    <row r="151" spans="1:5" ht="24.75">
      <c r="A151" s="11" t="s">
        <v>363</v>
      </c>
      <c r="B151" s="11" t="s">
        <v>233</v>
      </c>
      <c r="C151" s="11" t="s">
        <v>325</v>
      </c>
      <c r="D151" s="11" t="s">
        <v>2487</v>
      </c>
      <c r="E151" s="11">
        <v>1</v>
      </c>
    </row>
    <row r="152" spans="1:5" ht="24.75">
      <c r="A152" s="11" t="s">
        <v>363</v>
      </c>
      <c r="B152" s="11" t="s">
        <v>233</v>
      </c>
      <c r="C152" s="11" t="s">
        <v>325</v>
      </c>
      <c r="D152" s="11" t="s">
        <v>2487</v>
      </c>
      <c r="E152" s="11">
        <v>1</v>
      </c>
    </row>
    <row r="153" spans="1:5" ht="24.75">
      <c r="A153" s="11" t="s">
        <v>363</v>
      </c>
      <c r="B153" s="11" t="s">
        <v>233</v>
      </c>
      <c r="C153" s="11" t="s">
        <v>325</v>
      </c>
      <c r="D153" s="11" t="s">
        <v>2488</v>
      </c>
      <c r="E153" s="11">
        <v>1</v>
      </c>
    </row>
    <row r="154" spans="1:5" ht="24.75">
      <c r="A154" s="11" t="s">
        <v>363</v>
      </c>
      <c r="B154" s="11" t="s">
        <v>233</v>
      </c>
      <c r="C154" s="11" t="s">
        <v>325</v>
      </c>
      <c r="D154" s="11" t="s">
        <v>2488</v>
      </c>
      <c r="E154" s="11">
        <v>1</v>
      </c>
    </row>
    <row r="155" spans="1:5" ht="24.75">
      <c r="A155" s="11" t="s">
        <v>363</v>
      </c>
      <c r="B155" s="11" t="s">
        <v>233</v>
      </c>
      <c r="C155" s="11" t="s">
        <v>325</v>
      </c>
      <c r="D155" s="11" t="s">
        <v>2489</v>
      </c>
      <c r="E155" s="11">
        <v>1</v>
      </c>
    </row>
    <row r="156" spans="1:5" ht="24.75">
      <c r="A156" s="11" t="s">
        <v>363</v>
      </c>
      <c r="B156" s="11" t="s">
        <v>233</v>
      </c>
      <c r="C156" s="11" t="s">
        <v>325</v>
      </c>
      <c r="D156" s="11" t="s">
        <v>2489</v>
      </c>
      <c r="E156" s="11">
        <v>1</v>
      </c>
    </row>
    <row r="157" spans="1:5" ht="24.75">
      <c r="A157" s="11" t="s">
        <v>363</v>
      </c>
      <c r="B157" s="11" t="s">
        <v>233</v>
      </c>
      <c r="C157" s="11" t="s">
        <v>325</v>
      </c>
      <c r="D157" s="11" t="s">
        <v>2490</v>
      </c>
      <c r="E157" s="11">
        <v>1</v>
      </c>
    </row>
    <row r="158" spans="1:5" ht="24.75">
      <c r="A158" s="11" t="s">
        <v>363</v>
      </c>
      <c r="B158" s="11" t="s">
        <v>233</v>
      </c>
      <c r="C158" s="11" t="s">
        <v>325</v>
      </c>
      <c r="D158" s="11" t="s">
        <v>2490</v>
      </c>
      <c r="E158" s="11">
        <v>1</v>
      </c>
    </row>
    <row r="159" spans="1:5" ht="24.75">
      <c r="A159" s="11" t="s">
        <v>363</v>
      </c>
      <c r="B159" s="11" t="s">
        <v>233</v>
      </c>
      <c r="C159" s="11" t="s">
        <v>325</v>
      </c>
      <c r="D159" s="11" t="s">
        <v>2491</v>
      </c>
      <c r="E159" s="11">
        <v>1</v>
      </c>
    </row>
    <row r="160" spans="1:5" ht="24.75">
      <c r="A160" s="11" t="s">
        <v>363</v>
      </c>
      <c r="B160" s="11" t="s">
        <v>233</v>
      </c>
      <c r="C160" s="11" t="s">
        <v>325</v>
      </c>
      <c r="D160" s="11" t="s">
        <v>2491</v>
      </c>
      <c r="E160" s="11">
        <v>1</v>
      </c>
    </row>
    <row r="161" spans="1:5" ht="24.75">
      <c r="A161" s="11" t="s">
        <v>363</v>
      </c>
      <c r="B161" s="11" t="s">
        <v>233</v>
      </c>
      <c r="C161" s="11" t="s">
        <v>325</v>
      </c>
      <c r="D161" s="11" t="s">
        <v>2492</v>
      </c>
      <c r="E161" s="11">
        <v>1</v>
      </c>
    </row>
    <row r="162" spans="1:5" ht="24.75">
      <c r="A162" s="11" t="s">
        <v>363</v>
      </c>
      <c r="B162" s="11" t="s">
        <v>233</v>
      </c>
      <c r="C162" s="11" t="s">
        <v>325</v>
      </c>
      <c r="D162" s="11" t="s">
        <v>2492</v>
      </c>
      <c r="E162" s="11">
        <v>1</v>
      </c>
    </row>
    <row r="163" spans="1:5" ht="24.75">
      <c r="A163" s="11" t="s">
        <v>363</v>
      </c>
      <c r="B163" s="11" t="s">
        <v>233</v>
      </c>
      <c r="C163" s="11" t="s">
        <v>325</v>
      </c>
      <c r="D163" s="11" t="s">
        <v>2493</v>
      </c>
      <c r="E163" s="11">
        <v>1</v>
      </c>
    </row>
    <row r="164" spans="1:5" ht="24.75">
      <c r="A164" s="11" t="s">
        <v>363</v>
      </c>
      <c r="B164" s="11" t="s">
        <v>233</v>
      </c>
      <c r="C164" s="11" t="s">
        <v>325</v>
      </c>
      <c r="D164" s="11" t="s">
        <v>2493</v>
      </c>
      <c r="E164" s="11">
        <v>1</v>
      </c>
    </row>
    <row r="165" spans="1:5" ht="24.75">
      <c r="A165" s="11" t="s">
        <v>363</v>
      </c>
      <c r="B165" s="11" t="s">
        <v>233</v>
      </c>
      <c r="C165" s="11" t="s">
        <v>325</v>
      </c>
      <c r="D165" s="11" t="s">
        <v>2494</v>
      </c>
      <c r="E165" s="11">
        <v>1</v>
      </c>
    </row>
    <row r="166" spans="1:5" ht="24.75">
      <c r="A166" s="11" t="s">
        <v>363</v>
      </c>
      <c r="B166" s="11" t="s">
        <v>233</v>
      </c>
      <c r="C166" s="11" t="s">
        <v>325</v>
      </c>
      <c r="D166" s="11" t="s">
        <v>2494</v>
      </c>
      <c r="E166" s="11">
        <v>1</v>
      </c>
    </row>
    <row r="167" spans="1:5" ht="24.75">
      <c r="A167" s="11" t="s">
        <v>363</v>
      </c>
      <c r="B167" s="11" t="s">
        <v>233</v>
      </c>
      <c r="C167" s="11" t="s">
        <v>325</v>
      </c>
      <c r="D167" s="11" t="s">
        <v>2495</v>
      </c>
      <c r="E167" s="11">
        <v>1</v>
      </c>
    </row>
    <row r="168" spans="1:5" ht="24.75">
      <c r="A168" s="11" t="s">
        <v>363</v>
      </c>
      <c r="B168" s="11" t="s">
        <v>233</v>
      </c>
      <c r="C168" s="11" t="s">
        <v>325</v>
      </c>
      <c r="D168" s="11" t="s">
        <v>2495</v>
      </c>
      <c r="E168" s="11">
        <v>1</v>
      </c>
    </row>
    <row r="169" spans="1:5" ht="24.75">
      <c r="A169" s="11" t="s">
        <v>363</v>
      </c>
      <c r="B169" s="11" t="s">
        <v>233</v>
      </c>
      <c r="C169" s="11" t="s">
        <v>325</v>
      </c>
      <c r="D169" s="11" t="s">
        <v>2496</v>
      </c>
      <c r="E169" s="11">
        <v>1</v>
      </c>
    </row>
    <row r="170" spans="1:5" ht="24.75">
      <c r="A170" s="11" t="s">
        <v>363</v>
      </c>
      <c r="B170" s="11" t="s">
        <v>233</v>
      </c>
      <c r="C170" s="11" t="s">
        <v>325</v>
      </c>
      <c r="D170" s="11" t="s">
        <v>2496</v>
      </c>
      <c r="E170" s="11">
        <v>1</v>
      </c>
    </row>
    <row r="171" spans="1:5" ht="24.75">
      <c r="A171" s="11" t="s">
        <v>363</v>
      </c>
      <c r="B171" s="11" t="s">
        <v>233</v>
      </c>
      <c r="C171" s="11" t="s">
        <v>325</v>
      </c>
      <c r="D171" s="11" t="s">
        <v>2497</v>
      </c>
      <c r="E171" s="11">
        <v>1</v>
      </c>
    </row>
    <row r="172" spans="1:5" ht="24.75">
      <c r="A172" s="11" t="s">
        <v>363</v>
      </c>
      <c r="B172" s="11" t="s">
        <v>233</v>
      </c>
      <c r="C172" s="11" t="s">
        <v>325</v>
      </c>
      <c r="D172" s="11" t="s">
        <v>2497</v>
      </c>
      <c r="E172" s="11">
        <v>1</v>
      </c>
    </row>
    <row r="173" spans="1:5" ht="24.75">
      <c r="A173" s="11" t="s">
        <v>363</v>
      </c>
      <c r="B173" s="11" t="s">
        <v>233</v>
      </c>
      <c r="C173" s="11" t="s">
        <v>325</v>
      </c>
      <c r="D173" s="11" t="s">
        <v>2498</v>
      </c>
      <c r="E173" s="11">
        <v>1</v>
      </c>
    </row>
    <row r="174" spans="1:5" ht="24.75">
      <c r="A174" s="11" t="s">
        <v>363</v>
      </c>
      <c r="B174" s="11" t="s">
        <v>233</v>
      </c>
      <c r="C174" s="11" t="s">
        <v>325</v>
      </c>
      <c r="D174" s="11" t="s">
        <v>2498</v>
      </c>
      <c r="E174" s="11">
        <v>1</v>
      </c>
    </row>
    <row r="175" spans="1:5" ht="24.75">
      <c r="A175" s="11" t="s">
        <v>363</v>
      </c>
      <c r="B175" s="11" t="s">
        <v>233</v>
      </c>
      <c r="C175" s="11" t="s">
        <v>325</v>
      </c>
      <c r="D175" s="11" t="s">
        <v>2499</v>
      </c>
      <c r="E175" s="11">
        <v>1</v>
      </c>
    </row>
    <row r="176" spans="1:5" ht="24.75">
      <c r="A176" s="11" t="s">
        <v>363</v>
      </c>
      <c r="B176" s="11" t="s">
        <v>233</v>
      </c>
      <c r="C176" s="11" t="s">
        <v>325</v>
      </c>
      <c r="D176" s="11" t="s">
        <v>2499</v>
      </c>
      <c r="E176" s="11">
        <v>1</v>
      </c>
    </row>
    <row r="177" spans="1:5" ht="24.75">
      <c r="A177" s="11" t="s">
        <v>363</v>
      </c>
      <c r="B177" s="11" t="s">
        <v>233</v>
      </c>
      <c r="C177" s="11" t="s">
        <v>325</v>
      </c>
      <c r="D177" s="11" t="s">
        <v>2500</v>
      </c>
      <c r="E177" s="11">
        <v>1</v>
      </c>
    </row>
    <row r="178" spans="1:5" ht="24.75">
      <c r="A178" s="11" t="s">
        <v>363</v>
      </c>
      <c r="B178" s="11" t="s">
        <v>233</v>
      </c>
      <c r="C178" s="11" t="s">
        <v>325</v>
      </c>
      <c r="D178" s="11" t="s">
        <v>2500</v>
      </c>
      <c r="E178" s="11">
        <v>1</v>
      </c>
    </row>
    <row r="179" spans="1:5" ht="24.75">
      <c r="A179" s="11" t="s">
        <v>363</v>
      </c>
      <c r="B179" s="11" t="s">
        <v>233</v>
      </c>
      <c r="C179" s="11" t="s">
        <v>325</v>
      </c>
      <c r="D179" s="11" t="s">
        <v>2501</v>
      </c>
      <c r="E179" s="11">
        <v>1</v>
      </c>
    </row>
    <row r="180" spans="1:5" ht="24.75">
      <c r="A180" s="11" t="s">
        <v>363</v>
      </c>
      <c r="B180" s="11" t="s">
        <v>233</v>
      </c>
      <c r="C180" s="11" t="s">
        <v>325</v>
      </c>
      <c r="D180" s="11" t="s">
        <v>2501</v>
      </c>
      <c r="E180" s="11">
        <v>1</v>
      </c>
    </row>
    <row r="181" spans="1:5" ht="24.75">
      <c r="A181" s="11" t="s">
        <v>363</v>
      </c>
      <c r="B181" s="11" t="s">
        <v>233</v>
      </c>
      <c r="C181" s="11" t="s">
        <v>325</v>
      </c>
      <c r="D181" s="11" t="s">
        <v>2502</v>
      </c>
      <c r="E181" s="11">
        <v>1</v>
      </c>
    </row>
    <row r="182" spans="1:5" ht="24.75">
      <c r="A182" s="11" t="s">
        <v>363</v>
      </c>
      <c r="B182" s="11" t="s">
        <v>233</v>
      </c>
      <c r="C182" s="11" t="s">
        <v>325</v>
      </c>
      <c r="D182" s="11" t="s">
        <v>2502</v>
      </c>
      <c r="E182" s="11">
        <v>1</v>
      </c>
    </row>
    <row r="183" spans="1:5" ht="24.75">
      <c r="A183" s="11" t="s">
        <v>363</v>
      </c>
      <c r="B183" s="11" t="s">
        <v>233</v>
      </c>
      <c r="C183" s="11" t="s">
        <v>325</v>
      </c>
      <c r="D183" s="11" t="s">
        <v>2503</v>
      </c>
      <c r="E183" s="11">
        <v>1</v>
      </c>
    </row>
    <row r="184" spans="1:5" ht="24.75">
      <c r="A184" s="11" t="s">
        <v>363</v>
      </c>
      <c r="B184" s="11" t="s">
        <v>233</v>
      </c>
      <c r="C184" s="11" t="s">
        <v>325</v>
      </c>
      <c r="D184" s="11" t="s">
        <v>2503</v>
      </c>
      <c r="E184" s="11">
        <v>1</v>
      </c>
    </row>
    <row r="185" spans="1:5" ht="24.75">
      <c r="A185" s="11" t="s">
        <v>363</v>
      </c>
      <c r="B185" s="11" t="s">
        <v>233</v>
      </c>
      <c r="C185" s="11" t="s">
        <v>325</v>
      </c>
      <c r="D185" s="11" t="s">
        <v>2504</v>
      </c>
      <c r="E185" s="11">
        <v>1</v>
      </c>
    </row>
    <row r="186" spans="1:5" ht="24.75">
      <c r="A186" s="11" t="s">
        <v>363</v>
      </c>
      <c r="B186" s="11" t="s">
        <v>233</v>
      </c>
      <c r="C186" s="11" t="s">
        <v>325</v>
      </c>
      <c r="D186" s="11" t="s">
        <v>2504</v>
      </c>
      <c r="E186" s="11">
        <v>1</v>
      </c>
    </row>
    <row r="187" spans="1:5" ht="24.75">
      <c r="A187" s="11" t="s">
        <v>363</v>
      </c>
      <c r="B187" s="11" t="s">
        <v>233</v>
      </c>
      <c r="C187" s="11" t="s">
        <v>325</v>
      </c>
      <c r="D187" s="11" t="s">
        <v>2505</v>
      </c>
      <c r="E187" s="11">
        <v>1</v>
      </c>
    </row>
    <row r="188" spans="1:5" ht="24.75">
      <c r="A188" s="11" t="s">
        <v>363</v>
      </c>
      <c r="B188" s="11" t="s">
        <v>233</v>
      </c>
      <c r="C188" s="11" t="s">
        <v>325</v>
      </c>
      <c r="D188" s="11" t="s">
        <v>2505</v>
      </c>
      <c r="E188" s="11">
        <v>1</v>
      </c>
    </row>
    <row r="189" spans="1:5" ht="24.75">
      <c r="A189" s="11" t="s">
        <v>363</v>
      </c>
      <c r="B189" s="11" t="s">
        <v>233</v>
      </c>
      <c r="C189" s="11" t="s">
        <v>325</v>
      </c>
      <c r="D189" s="11" t="s">
        <v>2506</v>
      </c>
      <c r="E189" s="11">
        <v>1</v>
      </c>
    </row>
    <row r="190" spans="1:5" ht="24.75">
      <c r="A190" s="11" t="s">
        <v>363</v>
      </c>
      <c r="B190" s="11" t="s">
        <v>233</v>
      </c>
      <c r="C190" s="11" t="s">
        <v>325</v>
      </c>
      <c r="D190" s="11" t="s">
        <v>2506</v>
      </c>
      <c r="E190" s="11">
        <v>1</v>
      </c>
    </row>
    <row r="191" spans="1:5" ht="24.75">
      <c r="A191" s="11" t="s">
        <v>363</v>
      </c>
      <c r="B191" s="11" t="s">
        <v>233</v>
      </c>
      <c r="C191" s="11" t="s">
        <v>325</v>
      </c>
      <c r="D191" s="11" t="s">
        <v>2507</v>
      </c>
      <c r="E191" s="11">
        <v>1</v>
      </c>
    </row>
    <row r="192" spans="1:5" ht="24.75">
      <c r="A192" s="11" t="s">
        <v>363</v>
      </c>
      <c r="B192" s="11" t="s">
        <v>233</v>
      </c>
      <c r="C192" s="11" t="s">
        <v>325</v>
      </c>
      <c r="D192" s="11" t="s">
        <v>2507</v>
      </c>
      <c r="E192" s="11">
        <v>1</v>
      </c>
    </row>
    <row r="193" spans="1:5" ht="24.75">
      <c r="A193" s="11" t="s">
        <v>363</v>
      </c>
      <c r="B193" s="11" t="s">
        <v>233</v>
      </c>
      <c r="C193" s="11" t="s">
        <v>325</v>
      </c>
      <c r="D193" s="11" t="s">
        <v>2508</v>
      </c>
      <c r="E193" s="11">
        <v>1</v>
      </c>
    </row>
    <row r="194" spans="1:5" ht="24.75">
      <c r="A194" s="11" t="s">
        <v>363</v>
      </c>
      <c r="B194" s="11" t="s">
        <v>233</v>
      </c>
      <c r="C194" s="11" t="s">
        <v>325</v>
      </c>
      <c r="D194" s="11" t="s">
        <v>2508</v>
      </c>
      <c r="E194" s="11">
        <v>1</v>
      </c>
    </row>
    <row r="195" spans="1:5" ht="24.75">
      <c r="A195" s="11" t="s">
        <v>363</v>
      </c>
      <c r="B195" s="11" t="s">
        <v>233</v>
      </c>
      <c r="C195" s="11" t="s">
        <v>325</v>
      </c>
      <c r="D195" s="11" t="s">
        <v>2509</v>
      </c>
      <c r="E195" s="11">
        <v>1</v>
      </c>
    </row>
    <row r="196" spans="1:5" ht="24.75">
      <c r="A196" s="11" t="s">
        <v>363</v>
      </c>
      <c r="B196" s="11" t="s">
        <v>233</v>
      </c>
      <c r="C196" s="11" t="s">
        <v>325</v>
      </c>
      <c r="D196" s="11" t="s">
        <v>2509</v>
      </c>
      <c r="E196" s="11">
        <v>1</v>
      </c>
    </row>
    <row r="197" spans="1:5" ht="24.75">
      <c r="A197" s="11" t="s">
        <v>363</v>
      </c>
      <c r="B197" s="11" t="s">
        <v>233</v>
      </c>
      <c r="C197" s="11" t="s">
        <v>325</v>
      </c>
      <c r="D197" s="11" t="s">
        <v>2510</v>
      </c>
      <c r="E197" s="11">
        <v>1</v>
      </c>
    </row>
    <row r="198" spans="1:5" ht="24.75">
      <c r="A198" s="11" t="s">
        <v>363</v>
      </c>
      <c r="B198" s="11" t="s">
        <v>233</v>
      </c>
      <c r="C198" s="11" t="s">
        <v>325</v>
      </c>
      <c r="D198" s="11" t="s">
        <v>2510</v>
      </c>
      <c r="E198" s="11">
        <v>1</v>
      </c>
    </row>
    <row r="199" spans="1:5" ht="24.75">
      <c r="A199" s="11" t="s">
        <v>363</v>
      </c>
      <c r="B199" s="11" t="s">
        <v>233</v>
      </c>
      <c r="C199" s="11" t="s">
        <v>325</v>
      </c>
      <c r="D199" s="11" t="s">
        <v>2511</v>
      </c>
      <c r="E199" s="11">
        <v>1</v>
      </c>
    </row>
    <row r="200" spans="1:5" ht="24.75">
      <c r="A200" s="11" t="s">
        <v>363</v>
      </c>
      <c r="B200" s="11" t="s">
        <v>233</v>
      </c>
      <c r="C200" s="11" t="s">
        <v>325</v>
      </c>
      <c r="D200" s="11" t="s">
        <v>2511</v>
      </c>
      <c r="E200" s="11">
        <v>1</v>
      </c>
    </row>
    <row r="201" spans="1:5" ht="24.75">
      <c r="A201" s="11" t="s">
        <v>363</v>
      </c>
      <c r="B201" s="11" t="s">
        <v>233</v>
      </c>
      <c r="C201" s="11" t="s">
        <v>325</v>
      </c>
      <c r="D201" s="11" t="s">
        <v>2512</v>
      </c>
      <c r="E201" s="11">
        <v>1</v>
      </c>
    </row>
    <row r="202" spans="1:5" ht="24.75">
      <c r="A202" s="11" t="s">
        <v>363</v>
      </c>
      <c r="B202" s="11" t="s">
        <v>233</v>
      </c>
      <c r="C202" s="11" t="s">
        <v>325</v>
      </c>
      <c r="D202" s="11" t="s">
        <v>2512</v>
      </c>
      <c r="E202" s="11">
        <v>1</v>
      </c>
    </row>
    <row r="203" spans="1:5" ht="24.75">
      <c r="A203" s="11" t="s">
        <v>363</v>
      </c>
      <c r="B203" s="11" t="s">
        <v>233</v>
      </c>
      <c r="C203" s="11" t="s">
        <v>325</v>
      </c>
      <c r="D203" s="11" t="s">
        <v>2513</v>
      </c>
      <c r="E203" s="11">
        <v>1</v>
      </c>
    </row>
    <row r="204" spans="1:5" ht="24.75">
      <c r="A204" s="11" t="s">
        <v>363</v>
      </c>
      <c r="B204" s="11" t="s">
        <v>233</v>
      </c>
      <c r="C204" s="11" t="s">
        <v>325</v>
      </c>
      <c r="D204" s="11" t="s">
        <v>2513</v>
      </c>
      <c r="E204" s="11">
        <v>1</v>
      </c>
    </row>
    <row r="205" spans="1:5" ht="24.75">
      <c r="A205" s="11" t="s">
        <v>363</v>
      </c>
      <c r="B205" s="11" t="s">
        <v>233</v>
      </c>
      <c r="C205" s="11" t="s">
        <v>325</v>
      </c>
      <c r="D205" s="11" t="s">
        <v>2514</v>
      </c>
      <c r="E205" s="11">
        <v>1</v>
      </c>
    </row>
    <row r="206" spans="1:5" ht="24.75">
      <c r="A206" s="11" t="s">
        <v>363</v>
      </c>
      <c r="B206" s="11" t="s">
        <v>233</v>
      </c>
      <c r="C206" s="11" t="s">
        <v>325</v>
      </c>
      <c r="D206" s="11" t="s">
        <v>2514</v>
      </c>
      <c r="E206" s="11">
        <v>1</v>
      </c>
    </row>
    <row r="207" spans="1:5" ht="24.75">
      <c r="A207" s="11" t="s">
        <v>363</v>
      </c>
      <c r="B207" s="11" t="s">
        <v>233</v>
      </c>
      <c r="C207" s="11" t="s">
        <v>325</v>
      </c>
      <c r="D207" s="11" t="s">
        <v>2515</v>
      </c>
      <c r="E207" s="11">
        <v>1</v>
      </c>
    </row>
    <row r="208" spans="1:5" ht="24.75">
      <c r="A208" s="11" t="s">
        <v>363</v>
      </c>
      <c r="B208" s="11" t="s">
        <v>233</v>
      </c>
      <c r="C208" s="11" t="s">
        <v>325</v>
      </c>
      <c r="D208" s="11" t="s">
        <v>2515</v>
      </c>
      <c r="E208" s="11">
        <v>1</v>
      </c>
    </row>
    <row r="209" spans="1:5" ht="24.75">
      <c r="A209" s="11" t="s">
        <v>363</v>
      </c>
      <c r="B209" s="11" t="s">
        <v>233</v>
      </c>
      <c r="C209" s="11" t="s">
        <v>325</v>
      </c>
      <c r="D209" s="11" t="s">
        <v>2516</v>
      </c>
      <c r="E209" s="11">
        <v>1</v>
      </c>
    </row>
    <row r="210" spans="1:5" ht="24.75">
      <c r="A210" s="11" t="s">
        <v>363</v>
      </c>
      <c r="B210" s="11" t="s">
        <v>233</v>
      </c>
      <c r="C210" s="11" t="s">
        <v>325</v>
      </c>
      <c r="D210" s="11" t="s">
        <v>2516</v>
      </c>
      <c r="E210" s="11">
        <v>1</v>
      </c>
    </row>
    <row r="211" spans="1:5" ht="24.75">
      <c r="A211" s="11" t="s">
        <v>363</v>
      </c>
      <c r="B211" s="11" t="s">
        <v>233</v>
      </c>
      <c r="C211" s="11" t="s">
        <v>325</v>
      </c>
      <c r="D211" s="11" t="s">
        <v>2517</v>
      </c>
      <c r="E211" s="11">
        <v>1</v>
      </c>
    </row>
    <row r="212" spans="1:5" ht="24.75">
      <c r="A212" s="11" t="s">
        <v>363</v>
      </c>
      <c r="B212" s="11" t="s">
        <v>233</v>
      </c>
      <c r="C212" s="11" t="s">
        <v>325</v>
      </c>
      <c r="D212" s="11" t="s">
        <v>2517</v>
      </c>
      <c r="E212" s="11">
        <v>1</v>
      </c>
    </row>
    <row r="213" spans="1:5" ht="24.75">
      <c r="A213" s="11" t="s">
        <v>363</v>
      </c>
      <c r="B213" s="11" t="s">
        <v>233</v>
      </c>
      <c r="C213" s="11" t="s">
        <v>325</v>
      </c>
      <c r="D213" s="11" t="s">
        <v>2518</v>
      </c>
      <c r="E213" s="11">
        <v>1</v>
      </c>
    </row>
    <row r="214" spans="1:5" ht="24.75">
      <c r="A214" s="11" t="s">
        <v>363</v>
      </c>
      <c r="B214" s="11" t="s">
        <v>233</v>
      </c>
      <c r="C214" s="11" t="s">
        <v>325</v>
      </c>
      <c r="D214" s="11" t="s">
        <v>2518</v>
      </c>
      <c r="E214" s="11">
        <v>1</v>
      </c>
    </row>
    <row r="215" spans="1:5" ht="24.75">
      <c r="A215" s="11" t="s">
        <v>363</v>
      </c>
      <c r="B215" s="11" t="s">
        <v>233</v>
      </c>
      <c r="C215" s="11" t="s">
        <v>325</v>
      </c>
      <c r="D215" s="11" t="s">
        <v>2519</v>
      </c>
      <c r="E215" s="11">
        <v>1</v>
      </c>
    </row>
    <row r="216" spans="1:5" ht="24.75">
      <c r="A216" s="11" t="s">
        <v>363</v>
      </c>
      <c r="B216" s="11" t="s">
        <v>233</v>
      </c>
      <c r="C216" s="11" t="s">
        <v>325</v>
      </c>
      <c r="D216" s="11" t="s">
        <v>2519</v>
      </c>
      <c r="E216" s="11">
        <v>1</v>
      </c>
    </row>
    <row r="217" spans="1:5" ht="24.75">
      <c r="A217" s="11" t="s">
        <v>363</v>
      </c>
      <c r="B217" s="11" t="s">
        <v>233</v>
      </c>
      <c r="C217" s="11" t="s">
        <v>325</v>
      </c>
      <c r="D217" s="11" t="s">
        <v>2520</v>
      </c>
      <c r="E217" s="11">
        <v>1</v>
      </c>
    </row>
    <row r="218" spans="1:5" ht="24.75">
      <c r="A218" s="11" t="s">
        <v>363</v>
      </c>
      <c r="B218" s="11" t="s">
        <v>233</v>
      </c>
      <c r="C218" s="11" t="s">
        <v>325</v>
      </c>
      <c r="D218" s="11" t="s">
        <v>2520</v>
      </c>
      <c r="E218" s="11">
        <v>1</v>
      </c>
    </row>
    <row r="219" spans="1:5" ht="24.75">
      <c r="A219" s="11" t="s">
        <v>363</v>
      </c>
      <c r="B219" s="11" t="s">
        <v>233</v>
      </c>
      <c r="C219" s="11" t="s">
        <v>325</v>
      </c>
      <c r="D219" s="11" t="s">
        <v>2521</v>
      </c>
      <c r="E219" s="11">
        <v>1</v>
      </c>
    </row>
    <row r="220" spans="1:5" ht="24.75">
      <c r="A220" s="11" t="s">
        <v>363</v>
      </c>
      <c r="B220" s="11" t="s">
        <v>233</v>
      </c>
      <c r="C220" s="11" t="s">
        <v>325</v>
      </c>
      <c r="D220" s="11" t="s">
        <v>2521</v>
      </c>
      <c r="E220" s="11">
        <v>1</v>
      </c>
    </row>
    <row r="221" spans="1:5" ht="24.75">
      <c r="A221" s="11" t="s">
        <v>363</v>
      </c>
      <c r="B221" s="11" t="s">
        <v>233</v>
      </c>
      <c r="C221" s="11" t="s">
        <v>325</v>
      </c>
      <c r="D221" s="11" t="s">
        <v>2522</v>
      </c>
      <c r="E221" s="11">
        <v>1</v>
      </c>
    </row>
    <row r="222" spans="1:5" ht="24.75">
      <c r="A222" s="11" t="s">
        <v>363</v>
      </c>
      <c r="B222" s="11" t="s">
        <v>233</v>
      </c>
      <c r="C222" s="11" t="s">
        <v>325</v>
      </c>
      <c r="D222" s="11" t="s">
        <v>2522</v>
      </c>
      <c r="E222" s="11">
        <v>1</v>
      </c>
    </row>
    <row r="223" spans="1:5" ht="24.75">
      <c r="A223" s="11" t="s">
        <v>363</v>
      </c>
      <c r="B223" s="11" t="s">
        <v>233</v>
      </c>
      <c r="C223" s="11" t="s">
        <v>325</v>
      </c>
      <c r="D223" s="11" t="s">
        <v>2523</v>
      </c>
      <c r="E223" s="11">
        <v>1</v>
      </c>
    </row>
    <row r="224" spans="1:5" ht="24.75">
      <c r="A224" s="11" t="s">
        <v>363</v>
      </c>
      <c r="B224" s="11" t="s">
        <v>233</v>
      </c>
      <c r="C224" s="11" t="s">
        <v>325</v>
      </c>
      <c r="D224" s="11" t="s">
        <v>2523</v>
      </c>
      <c r="E224" s="11">
        <v>1</v>
      </c>
    </row>
    <row r="225" spans="1:5" ht="24.75">
      <c r="A225" s="11" t="s">
        <v>363</v>
      </c>
      <c r="B225" s="11" t="s">
        <v>233</v>
      </c>
      <c r="C225" s="11" t="s">
        <v>325</v>
      </c>
      <c r="D225" s="11" t="s">
        <v>2524</v>
      </c>
      <c r="E225" s="11">
        <v>1</v>
      </c>
    </row>
    <row r="226" spans="1:5" ht="24.75">
      <c r="A226" s="11" t="s">
        <v>363</v>
      </c>
      <c r="B226" s="11" t="s">
        <v>233</v>
      </c>
      <c r="C226" s="11" t="s">
        <v>325</v>
      </c>
      <c r="D226" s="11" t="s">
        <v>2524</v>
      </c>
      <c r="E226" s="11">
        <v>1</v>
      </c>
    </row>
    <row r="227" spans="1:5" ht="24.75">
      <c r="A227" s="11" t="s">
        <v>363</v>
      </c>
      <c r="B227" s="11" t="s">
        <v>233</v>
      </c>
      <c r="C227" s="11" t="s">
        <v>325</v>
      </c>
      <c r="D227" s="11" t="s">
        <v>2525</v>
      </c>
      <c r="E227" s="11">
        <v>1</v>
      </c>
    </row>
    <row r="228" spans="1:5" ht="24.75">
      <c r="A228" s="11" t="s">
        <v>363</v>
      </c>
      <c r="B228" s="11" t="s">
        <v>233</v>
      </c>
      <c r="C228" s="11" t="s">
        <v>325</v>
      </c>
      <c r="D228" s="11" t="s">
        <v>2525</v>
      </c>
      <c r="E228" s="11">
        <v>1</v>
      </c>
    </row>
    <row r="229" spans="1:5" ht="24.75">
      <c r="A229" s="11" t="s">
        <v>363</v>
      </c>
      <c r="B229" s="11" t="s">
        <v>233</v>
      </c>
      <c r="C229" s="11" t="s">
        <v>325</v>
      </c>
      <c r="D229" s="11" t="s">
        <v>2526</v>
      </c>
      <c r="E229" s="11">
        <v>1</v>
      </c>
    </row>
    <row r="230" spans="1:5" ht="24.75">
      <c r="A230" s="11" t="s">
        <v>363</v>
      </c>
      <c r="B230" s="11" t="s">
        <v>233</v>
      </c>
      <c r="C230" s="11" t="s">
        <v>325</v>
      </c>
      <c r="D230" s="11" t="s">
        <v>2526</v>
      </c>
      <c r="E230" s="11">
        <v>1</v>
      </c>
    </row>
    <row r="231" spans="1:5" ht="24.75">
      <c r="A231" s="11" t="s">
        <v>363</v>
      </c>
      <c r="B231" s="11" t="s">
        <v>233</v>
      </c>
      <c r="C231" s="11" t="s">
        <v>325</v>
      </c>
      <c r="D231" s="11" t="s">
        <v>2527</v>
      </c>
      <c r="E231" s="11">
        <v>1</v>
      </c>
    </row>
    <row r="232" spans="1:5" ht="24.75">
      <c r="A232" s="11" t="s">
        <v>363</v>
      </c>
      <c r="B232" s="11" t="s">
        <v>233</v>
      </c>
      <c r="C232" s="11" t="s">
        <v>325</v>
      </c>
      <c r="D232" s="11" t="s">
        <v>2527</v>
      </c>
      <c r="E232" s="11">
        <v>1</v>
      </c>
    </row>
    <row r="233" spans="1:5" ht="24.75">
      <c r="A233" s="11" t="s">
        <v>363</v>
      </c>
      <c r="B233" s="11" t="s">
        <v>233</v>
      </c>
      <c r="C233" s="11" t="s">
        <v>325</v>
      </c>
      <c r="D233" s="11" t="s">
        <v>2528</v>
      </c>
      <c r="E233" s="11">
        <v>1</v>
      </c>
    </row>
    <row r="234" spans="1:5" ht="24.75">
      <c r="A234" s="11" t="s">
        <v>363</v>
      </c>
      <c r="B234" s="11" t="s">
        <v>233</v>
      </c>
      <c r="C234" s="11" t="s">
        <v>325</v>
      </c>
      <c r="D234" s="11" t="s">
        <v>2528</v>
      </c>
      <c r="E234" s="11">
        <v>1</v>
      </c>
    </row>
    <row r="235" spans="1:5" ht="24.75">
      <c r="A235" s="11" t="s">
        <v>363</v>
      </c>
      <c r="B235" s="11" t="s">
        <v>233</v>
      </c>
      <c r="C235" s="11" t="s">
        <v>325</v>
      </c>
      <c r="D235" s="11" t="s">
        <v>2529</v>
      </c>
      <c r="E235" s="11">
        <v>1</v>
      </c>
    </row>
    <row r="236" spans="1:5" ht="24.75">
      <c r="A236" s="11" t="s">
        <v>363</v>
      </c>
      <c r="B236" s="11" t="s">
        <v>233</v>
      </c>
      <c r="C236" s="11" t="s">
        <v>325</v>
      </c>
      <c r="D236" s="11" t="s">
        <v>2529</v>
      </c>
      <c r="E236" s="11">
        <v>1</v>
      </c>
    </row>
    <row r="237" spans="1:5" ht="24.75">
      <c r="A237" s="11" t="s">
        <v>363</v>
      </c>
      <c r="B237" s="11" t="s">
        <v>233</v>
      </c>
      <c r="C237" s="11" t="s">
        <v>325</v>
      </c>
      <c r="D237" s="11" t="s">
        <v>2530</v>
      </c>
      <c r="E237" s="11">
        <v>1</v>
      </c>
    </row>
    <row r="238" spans="1:5" ht="24.75">
      <c r="A238" s="11" t="s">
        <v>363</v>
      </c>
      <c r="B238" s="11" t="s">
        <v>233</v>
      </c>
      <c r="C238" s="11" t="s">
        <v>325</v>
      </c>
      <c r="D238" s="11" t="s">
        <v>2530</v>
      </c>
      <c r="E238" s="11">
        <v>1</v>
      </c>
    </row>
    <row r="239" spans="1:5" ht="24.75">
      <c r="A239" s="11" t="s">
        <v>363</v>
      </c>
      <c r="B239" s="11" t="s">
        <v>233</v>
      </c>
      <c r="C239" s="11" t="s">
        <v>325</v>
      </c>
      <c r="D239" s="11" t="s">
        <v>2531</v>
      </c>
      <c r="E239" s="11">
        <v>1</v>
      </c>
    </row>
    <row r="240" spans="1:5" ht="24.75">
      <c r="A240" s="11" t="s">
        <v>363</v>
      </c>
      <c r="B240" s="11" t="s">
        <v>233</v>
      </c>
      <c r="C240" s="11" t="s">
        <v>325</v>
      </c>
      <c r="D240" s="11" t="s">
        <v>2531</v>
      </c>
      <c r="E240" s="11">
        <v>1</v>
      </c>
    </row>
    <row r="241" spans="1:5" ht="24.75">
      <c r="A241" s="11" t="s">
        <v>363</v>
      </c>
      <c r="B241" s="11" t="s">
        <v>233</v>
      </c>
      <c r="C241" s="11" t="s">
        <v>325</v>
      </c>
      <c r="D241" s="11" t="s">
        <v>2532</v>
      </c>
      <c r="E241" s="11">
        <v>1</v>
      </c>
    </row>
    <row r="242" spans="1:5" ht="24.75">
      <c r="A242" s="11" t="s">
        <v>363</v>
      </c>
      <c r="B242" s="11" t="s">
        <v>233</v>
      </c>
      <c r="C242" s="11" t="s">
        <v>325</v>
      </c>
      <c r="D242" s="11" t="s">
        <v>2532</v>
      </c>
      <c r="E242" s="11">
        <v>1</v>
      </c>
    </row>
    <row r="243" spans="1:5" ht="24.75">
      <c r="A243" s="11" t="s">
        <v>363</v>
      </c>
      <c r="B243" s="11" t="s">
        <v>233</v>
      </c>
      <c r="C243" s="11" t="s">
        <v>325</v>
      </c>
      <c r="D243" s="11" t="s">
        <v>2533</v>
      </c>
      <c r="E243" s="11">
        <v>1</v>
      </c>
    </row>
    <row r="244" spans="1:5" ht="24.75">
      <c r="A244" s="11" t="s">
        <v>363</v>
      </c>
      <c r="B244" s="11" t="s">
        <v>233</v>
      </c>
      <c r="C244" s="11" t="s">
        <v>325</v>
      </c>
      <c r="D244" s="11" t="s">
        <v>2533</v>
      </c>
      <c r="E244" s="11">
        <v>1</v>
      </c>
    </row>
    <row r="245" spans="1:5" ht="24.75">
      <c r="A245" s="11" t="s">
        <v>363</v>
      </c>
      <c r="B245" s="11" t="s">
        <v>233</v>
      </c>
      <c r="C245" s="11" t="s">
        <v>325</v>
      </c>
      <c r="D245" s="11" t="s">
        <v>2534</v>
      </c>
      <c r="E245" s="11">
        <v>1</v>
      </c>
    </row>
    <row r="246" spans="1:5" ht="24.75">
      <c r="A246" s="11" t="s">
        <v>363</v>
      </c>
      <c r="B246" s="11" t="s">
        <v>233</v>
      </c>
      <c r="C246" s="11" t="s">
        <v>325</v>
      </c>
      <c r="D246" s="11" t="s">
        <v>2534</v>
      </c>
      <c r="E246" s="11">
        <v>1</v>
      </c>
    </row>
    <row r="247" spans="1:5" ht="24.75">
      <c r="A247" s="11" t="s">
        <v>363</v>
      </c>
      <c r="B247" s="11" t="s">
        <v>233</v>
      </c>
      <c r="C247" s="11" t="s">
        <v>325</v>
      </c>
      <c r="D247" s="11" t="s">
        <v>2535</v>
      </c>
      <c r="E247" s="11">
        <v>1</v>
      </c>
    </row>
    <row r="248" spans="1:5" ht="24.75">
      <c r="A248" s="11" t="s">
        <v>363</v>
      </c>
      <c r="B248" s="11" t="s">
        <v>233</v>
      </c>
      <c r="C248" s="11" t="s">
        <v>325</v>
      </c>
      <c r="D248" s="11" t="s">
        <v>2535</v>
      </c>
      <c r="E248" s="11">
        <v>1</v>
      </c>
    </row>
    <row r="249" spans="1:5" ht="24.75">
      <c r="A249" s="11" t="s">
        <v>363</v>
      </c>
      <c r="B249" s="11" t="s">
        <v>233</v>
      </c>
      <c r="C249" s="11" t="s">
        <v>325</v>
      </c>
      <c r="D249" s="11" t="s">
        <v>2536</v>
      </c>
      <c r="E249" s="11">
        <v>1</v>
      </c>
    </row>
    <row r="250" spans="1:5" ht="24.75">
      <c r="A250" s="11" t="s">
        <v>363</v>
      </c>
      <c r="B250" s="11" t="s">
        <v>233</v>
      </c>
      <c r="C250" s="11" t="s">
        <v>325</v>
      </c>
      <c r="D250" s="11" t="s">
        <v>2536</v>
      </c>
      <c r="E250" s="11">
        <v>1</v>
      </c>
    </row>
    <row r="251" spans="1:5" ht="24.75">
      <c r="A251" s="11" t="s">
        <v>363</v>
      </c>
      <c r="B251" s="11" t="s">
        <v>233</v>
      </c>
      <c r="C251" s="11" t="s">
        <v>325</v>
      </c>
      <c r="D251" s="11" t="s">
        <v>2537</v>
      </c>
      <c r="E251" s="11">
        <v>1</v>
      </c>
    </row>
    <row r="252" spans="1:5" ht="24.75">
      <c r="A252" s="11" t="s">
        <v>363</v>
      </c>
      <c r="B252" s="11" t="s">
        <v>233</v>
      </c>
      <c r="C252" s="11" t="s">
        <v>325</v>
      </c>
      <c r="D252" s="11" t="s">
        <v>2537</v>
      </c>
      <c r="E252" s="11">
        <v>1</v>
      </c>
    </row>
    <row r="253" spans="1:5" ht="24.75">
      <c r="A253" s="11" t="s">
        <v>363</v>
      </c>
      <c r="B253" s="11" t="s">
        <v>233</v>
      </c>
      <c r="C253" s="11" t="s">
        <v>325</v>
      </c>
      <c r="D253" s="11" t="s">
        <v>2538</v>
      </c>
      <c r="E253" s="11">
        <v>1</v>
      </c>
    </row>
    <row r="254" spans="1:5" ht="24.75">
      <c r="A254" s="11" t="s">
        <v>363</v>
      </c>
      <c r="B254" s="11" t="s">
        <v>233</v>
      </c>
      <c r="C254" s="11" t="s">
        <v>325</v>
      </c>
      <c r="D254" s="11" t="s">
        <v>2538</v>
      </c>
      <c r="E254" s="11">
        <v>1</v>
      </c>
    </row>
    <row r="255" spans="1:5" ht="24.75">
      <c r="A255" s="11" t="s">
        <v>363</v>
      </c>
      <c r="B255" s="11" t="s">
        <v>233</v>
      </c>
      <c r="C255" s="11" t="s">
        <v>325</v>
      </c>
      <c r="D255" s="11" t="s">
        <v>2539</v>
      </c>
      <c r="E255" s="11">
        <v>1</v>
      </c>
    </row>
    <row r="256" spans="1:5" ht="24.75">
      <c r="A256" s="11" t="s">
        <v>363</v>
      </c>
      <c r="B256" s="11" t="s">
        <v>233</v>
      </c>
      <c r="C256" s="11" t="s">
        <v>325</v>
      </c>
      <c r="D256" s="11" t="s">
        <v>2539</v>
      </c>
      <c r="E256" s="11">
        <v>1</v>
      </c>
    </row>
    <row r="257" spans="1:5" ht="24.75">
      <c r="A257" s="11" t="s">
        <v>363</v>
      </c>
      <c r="B257" s="11" t="s">
        <v>233</v>
      </c>
      <c r="C257" s="11" t="s">
        <v>325</v>
      </c>
      <c r="D257" s="11" t="s">
        <v>2540</v>
      </c>
      <c r="E257" s="11">
        <v>1</v>
      </c>
    </row>
    <row r="258" spans="1:5" ht="24.75">
      <c r="A258" s="11" t="s">
        <v>363</v>
      </c>
      <c r="B258" s="11" t="s">
        <v>233</v>
      </c>
      <c r="C258" s="11" t="s">
        <v>325</v>
      </c>
      <c r="D258" s="11" t="s">
        <v>2540</v>
      </c>
      <c r="E258" s="11">
        <v>1</v>
      </c>
    </row>
    <row r="259" spans="1:5" ht="24.75">
      <c r="A259" s="11" t="s">
        <v>363</v>
      </c>
      <c r="B259" s="11" t="s">
        <v>233</v>
      </c>
      <c r="C259" s="11" t="s">
        <v>325</v>
      </c>
      <c r="D259" s="11" t="s">
        <v>2541</v>
      </c>
      <c r="E259" s="11">
        <v>1</v>
      </c>
    </row>
    <row r="260" spans="1:5" ht="24.75">
      <c r="A260" s="11" t="s">
        <v>363</v>
      </c>
      <c r="B260" s="11" t="s">
        <v>233</v>
      </c>
      <c r="C260" s="11" t="s">
        <v>325</v>
      </c>
      <c r="D260" s="11" t="s">
        <v>2541</v>
      </c>
      <c r="E260" s="11">
        <v>1</v>
      </c>
    </row>
    <row r="261" spans="1:5" ht="24.75">
      <c r="A261" s="11" t="s">
        <v>363</v>
      </c>
      <c r="B261" s="11" t="s">
        <v>233</v>
      </c>
      <c r="C261" s="11" t="s">
        <v>325</v>
      </c>
      <c r="D261" s="11" t="s">
        <v>2542</v>
      </c>
      <c r="E261" s="11">
        <v>1</v>
      </c>
    </row>
    <row r="262" spans="1:5" ht="24.75">
      <c r="A262" s="11" t="s">
        <v>363</v>
      </c>
      <c r="B262" s="11" t="s">
        <v>233</v>
      </c>
      <c r="C262" s="11" t="s">
        <v>325</v>
      </c>
      <c r="D262" s="11" t="s">
        <v>2542</v>
      </c>
      <c r="E262" s="11">
        <v>1</v>
      </c>
    </row>
    <row r="263" spans="1:5" ht="24.75">
      <c r="A263" s="11" t="s">
        <v>363</v>
      </c>
      <c r="B263" s="11" t="s">
        <v>233</v>
      </c>
      <c r="C263" s="11" t="s">
        <v>325</v>
      </c>
      <c r="D263" s="11" t="s">
        <v>2543</v>
      </c>
      <c r="E263" s="11">
        <v>1</v>
      </c>
    </row>
    <row r="264" spans="1:5" ht="24.75">
      <c r="A264" s="11" t="s">
        <v>363</v>
      </c>
      <c r="B264" s="11" t="s">
        <v>233</v>
      </c>
      <c r="C264" s="11" t="s">
        <v>325</v>
      </c>
      <c r="D264" s="11" t="s">
        <v>2543</v>
      </c>
      <c r="E264" s="11">
        <v>1</v>
      </c>
    </row>
    <row r="265" spans="1:5" ht="24.75">
      <c r="A265" s="11" t="s">
        <v>363</v>
      </c>
      <c r="B265" s="11" t="s">
        <v>233</v>
      </c>
      <c r="C265" s="11" t="s">
        <v>325</v>
      </c>
      <c r="D265" s="11" t="s">
        <v>2544</v>
      </c>
      <c r="E265" s="11">
        <v>1</v>
      </c>
    </row>
    <row r="266" spans="1:5" ht="24.75">
      <c r="A266" s="11" t="s">
        <v>363</v>
      </c>
      <c r="B266" s="11" t="s">
        <v>233</v>
      </c>
      <c r="C266" s="11" t="s">
        <v>325</v>
      </c>
      <c r="D266" s="11" t="s">
        <v>2544</v>
      </c>
      <c r="E266" s="11">
        <v>1</v>
      </c>
    </row>
    <row r="267" spans="1:5" ht="24.75">
      <c r="A267" s="11" t="s">
        <v>363</v>
      </c>
      <c r="B267" s="11" t="s">
        <v>233</v>
      </c>
      <c r="C267" s="11" t="s">
        <v>325</v>
      </c>
      <c r="D267" s="11" t="s">
        <v>2545</v>
      </c>
      <c r="E267" s="11">
        <v>1</v>
      </c>
    </row>
    <row r="268" spans="1:5" ht="24.75">
      <c r="A268" s="11" t="s">
        <v>363</v>
      </c>
      <c r="B268" s="11" t="s">
        <v>233</v>
      </c>
      <c r="C268" s="11" t="s">
        <v>325</v>
      </c>
      <c r="D268" s="11" t="s">
        <v>2545</v>
      </c>
      <c r="E268" s="11">
        <v>1</v>
      </c>
    </row>
    <row r="269" spans="1:5" ht="24.75">
      <c r="A269" s="11" t="s">
        <v>363</v>
      </c>
      <c r="B269" s="11" t="s">
        <v>233</v>
      </c>
      <c r="C269" s="11" t="s">
        <v>325</v>
      </c>
      <c r="D269" s="11" t="s">
        <v>2546</v>
      </c>
      <c r="E269" s="11">
        <v>1</v>
      </c>
    </row>
    <row r="270" spans="1:5" ht="24.75">
      <c r="A270" s="11" t="s">
        <v>363</v>
      </c>
      <c r="B270" s="11" t="s">
        <v>233</v>
      </c>
      <c r="C270" s="11" t="s">
        <v>325</v>
      </c>
      <c r="D270" s="11" t="s">
        <v>2546</v>
      </c>
      <c r="E270" s="11">
        <v>1</v>
      </c>
    </row>
    <row r="271" spans="1:5" ht="24.75">
      <c r="A271" s="11" t="s">
        <v>363</v>
      </c>
      <c r="B271" s="11" t="s">
        <v>233</v>
      </c>
      <c r="C271" s="11" t="s">
        <v>325</v>
      </c>
      <c r="D271" s="11" t="s">
        <v>2547</v>
      </c>
      <c r="E271" s="11">
        <v>1</v>
      </c>
    </row>
    <row r="272" spans="1:5" ht="24.75">
      <c r="A272" s="11" t="s">
        <v>363</v>
      </c>
      <c r="B272" s="11" t="s">
        <v>233</v>
      </c>
      <c r="C272" s="11" t="s">
        <v>325</v>
      </c>
      <c r="D272" s="11" t="s">
        <v>2547</v>
      </c>
      <c r="E272" s="11">
        <v>1</v>
      </c>
    </row>
    <row r="273" spans="1:5" ht="24.75">
      <c r="A273" s="11" t="s">
        <v>363</v>
      </c>
      <c r="B273" s="11" t="s">
        <v>233</v>
      </c>
      <c r="C273" s="11" t="s">
        <v>325</v>
      </c>
      <c r="D273" s="11" t="s">
        <v>2548</v>
      </c>
      <c r="E273" s="11">
        <v>1</v>
      </c>
    </row>
    <row r="274" spans="1:5" ht="24.75">
      <c r="A274" s="11" t="s">
        <v>363</v>
      </c>
      <c r="B274" s="11" t="s">
        <v>233</v>
      </c>
      <c r="C274" s="11" t="s">
        <v>325</v>
      </c>
      <c r="D274" s="11" t="s">
        <v>2548</v>
      </c>
      <c r="E274" s="11">
        <v>1</v>
      </c>
    </row>
    <row r="275" spans="1:5" ht="24.75">
      <c r="A275" s="11" t="s">
        <v>363</v>
      </c>
      <c r="B275" s="11" t="s">
        <v>233</v>
      </c>
      <c r="C275" s="11" t="s">
        <v>325</v>
      </c>
      <c r="D275" s="11" t="s">
        <v>2549</v>
      </c>
      <c r="E275" s="11">
        <v>1</v>
      </c>
    </row>
    <row r="276" spans="1:5" ht="24.75">
      <c r="A276" s="11" t="s">
        <v>363</v>
      </c>
      <c r="B276" s="11" t="s">
        <v>233</v>
      </c>
      <c r="C276" s="11" t="s">
        <v>325</v>
      </c>
      <c r="D276" s="11" t="s">
        <v>2549</v>
      </c>
      <c r="E276" s="11">
        <v>1</v>
      </c>
    </row>
    <row r="277" spans="1:5" ht="24.75">
      <c r="A277" s="11" t="s">
        <v>363</v>
      </c>
      <c r="B277" s="11" t="s">
        <v>233</v>
      </c>
      <c r="C277" s="11" t="s">
        <v>325</v>
      </c>
      <c r="D277" s="11" t="s">
        <v>2550</v>
      </c>
      <c r="E277" s="11">
        <v>1</v>
      </c>
    </row>
    <row r="278" spans="1:5" ht="24.75">
      <c r="A278" s="11" t="s">
        <v>363</v>
      </c>
      <c r="B278" s="11" t="s">
        <v>233</v>
      </c>
      <c r="C278" s="11" t="s">
        <v>325</v>
      </c>
      <c r="D278" s="11" t="s">
        <v>2550</v>
      </c>
      <c r="E278" s="11">
        <v>1</v>
      </c>
    </row>
    <row r="279" spans="1:5" ht="24.75">
      <c r="A279" s="11" t="s">
        <v>363</v>
      </c>
      <c r="B279" s="11" t="s">
        <v>233</v>
      </c>
      <c r="C279" s="11" t="s">
        <v>325</v>
      </c>
      <c r="D279" s="11" t="s">
        <v>2551</v>
      </c>
      <c r="E279" s="11">
        <v>1</v>
      </c>
    </row>
    <row r="280" spans="1:5" ht="24.75">
      <c r="A280" s="11" t="s">
        <v>363</v>
      </c>
      <c r="B280" s="11" t="s">
        <v>233</v>
      </c>
      <c r="C280" s="11" t="s">
        <v>325</v>
      </c>
      <c r="D280" s="11" t="s">
        <v>2551</v>
      </c>
      <c r="E280" s="11">
        <v>1</v>
      </c>
    </row>
    <row r="281" spans="1:5" ht="24.75">
      <c r="A281" s="11" t="s">
        <v>363</v>
      </c>
      <c r="B281" s="11" t="s">
        <v>233</v>
      </c>
      <c r="C281" s="11" t="s">
        <v>325</v>
      </c>
      <c r="D281" s="11" t="s">
        <v>2552</v>
      </c>
      <c r="E281" s="11">
        <v>1</v>
      </c>
    </row>
    <row r="282" spans="1:5" ht="24.75">
      <c r="A282" s="11" t="s">
        <v>363</v>
      </c>
      <c r="B282" s="11" t="s">
        <v>233</v>
      </c>
      <c r="C282" s="11" t="s">
        <v>325</v>
      </c>
      <c r="D282" s="11" t="s">
        <v>2552</v>
      </c>
      <c r="E282" s="11">
        <v>1</v>
      </c>
    </row>
    <row r="283" spans="1:5" ht="24.75">
      <c r="A283" s="11" t="s">
        <v>363</v>
      </c>
      <c r="B283" s="11" t="s">
        <v>233</v>
      </c>
      <c r="C283" s="11" t="s">
        <v>325</v>
      </c>
      <c r="D283" s="11" t="s">
        <v>2553</v>
      </c>
      <c r="E283" s="11">
        <v>1</v>
      </c>
    </row>
    <row r="284" spans="1:5" ht="24.75">
      <c r="A284" s="11" t="s">
        <v>363</v>
      </c>
      <c r="B284" s="11" t="s">
        <v>233</v>
      </c>
      <c r="C284" s="11" t="s">
        <v>325</v>
      </c>
      <c r="D284" s="11" t="s">
        <v>2553</v>
      </c>
      <c r="E284" s="11">
        <v>1</v>
      </c>
    </row>
    <row r="285" spans="1:5" ht="24.75">
      <c r="A285" s="11" t="s">
        <v>363</v>
      </c>
      <c r="B285" s="11" t="s">
        <v>233</v>
      </c>
      <c r="C285" s="11" t="s">
        <v>325</v>
      </c>
      <c r="D285" s="11" t="s">
        <v>2554</v>
      </c>
      <c r="E285" s="11">
        <v>1</v>
      </c>
    </row>
    <row r="286" spans="1:5" ht="24.75">
      <c r="A286" s="11" t="s">
        <v>363</v>
      </c>
      <c r="B286" s="11" t="s">
        <v>233</v>
      </c>
      <c r="C286" s="11" t="s">
        <v>325</v>
      </c>
      <c r="D286" s="11" t="s">
        <v>2554</v>
      </c>
      <c r="E286" s="11">
        <v>1</v>
      </c>
    </row>
    <row r="287" spans="1:5" ht="24.75">
      <c r="A287" s="11" t="s">
        <v>363</v>
      </c>
      <c r="B287" s="11" t="s">
        <v>233</v>
      </c>
      <c r="C287" s="11" t="s">
        <v>325</v>
      </c>
      <c r="D287" s="11" t="s">
        <v>2555</v>
      </c>
      <c r="E287" s="11">
        <v>1</v>
      </c>
    </row>
    <row r="288" spans="1:5" ht="24.75">
      <c r="A288" s="11" t="s">
        <v>363</v>
      </c>
      <c r="B288" s="11" t="s">
        <v>233</v>
      </c>
      <c r="C288" s="11" t="s">
        <v>325</v>
      </c>
      <c r="D288" s="11" t="s">
        <v>2555</v>
      </c>
      <c r="E288" s="11">
        <v>1</v>
      </c>
    </row>
    <row r="289" spans="1:5" ht="24.75">
      <c r="A289" s="11" t="s">
        <v>363</v>
      </c>
      <c r="B289" s="11" t="s">
        <v>233</v>
      </c>
      <c r="C289" s="11" t="s">
        <v>325</v>
      </c>
      <c r="D289" s="11" t="s">
        <v>2556</v>
      </c>
      <c r="E289" s="11">
        <v>1</v>
      </c>
    </row>
    <row r="290" spans="1:5" ht="24.75">
      <c r="A290" s="11" t="s">
        <v>363</v>
      </c>
      <c r="B290" s="11" t="s">
        <v>233</v>
      </c>
      <c r="C290" s="11" t="s">
        <v>325</v>
      </c>
      <c r="D290" s="11" t="s">
        <v>2556</v>
      </c>
      <c r="E290" s="11">
        <v>1</v>
      </c>
    </row>
    <row r="291" spans="1:5" ht="24.75">
      <c r="A291" s="11" t="s">
        <v>363</v>
      </c>
      <c r="B291" s="11" t="s">
        <v>233</v>
      </c>
      <c r="C291" s="11" t="s">
        <v>325</v>
      </c>
      <c r="D291" s="11" t="s">
        <v>2557</v>
      </c>
      <c r="E291" s="11">
        <v>1</v>
      </c>
    </row>
    <row r="292" spans="1:5" ht="24.75">
      <c r="A292" s="11" t="s">
        <v>363</v>
      </c>
      <c r="B292" s="11" t="s">
        <v>233</v>
      </c>
      <c r="C292" s="11" t="s">
        <v>325</v>
      </c>
      <c r="D292" s="11" t="s">
        <v>2557</v>
      </c>
      <c r="E292" s="11">
        <v>1</v>
      </c>
    </row>
    <row r="293" spans="1:5" ht="24.75">
      <c r="A293" s="11" t="s">
        <v>363</v>
      </c>
      <c r="B293" s="11" t="s">
        <v>233</v>
      </c>
      <c r="C293" s="11" t="s">
        <v>325</v>
      </c>
      <c r="D293" s="11" t="s">
        <v>2558</v>
      </c>
      <c r="E293" s="11">
        <v>1</v>
      </c>
    </row>
    <row r="294" spans="1:5" ht="24.75">
      <c r="A294" s="11" t="s">
        <v>363</v>
      </c>
      <c r="B294" s="11" t="s">
        <v>233</v>
      </c>
      <c r="C294" s="11" t="s">
        <v>325</v>
      </c>
      <c r="D294" s="11" t="s">
        <v>2558</v>
      </c>
      <c r="E294" s="11">
        <v>1</v>
      </c>
    </row>
    <row r="295" spans="1:5" ht="24.75">
      <c r="A295" s="11" t="s">
        <v>363</v>
      </c>
      <c r="B295" s="11" t="s">
        <v>233</v>
      </c>
      <c r="C295" s="11" t="s">
        <v>325</v>
      </c>
      <c r="D295" s="11" t="s">
        <v>2559</v>
      </c>
      <c r="E295" s="11">
        <v>1</v>
      </c>
    </row>
    <row r="296" spans="1:5" ht="24.75">
      <c r="A296" s="11" t="s">
        <v>363</v>
      </c>
      <c r="B296" s="11" t="s">
        <v>233</v>
      </c>
      <c r="C296" s="11" t="s">
        <v>325</v>
      </c>
      <c r="D296" s="11" t="s">
        <v>2559</v>
      </c>
      <c r="E296" s="11">
        <v>1</v>
      </c>
    </row>
    <row r="297" spans="1:5" ht="24.75">
      <c r="A297" s="11" t="s">
        <v>363</v>
      </c>
      <c r="B297" s="11" t="s">
        <v>233</v>
      </c>
      <c r="C297" s="11" t="s">
        <v>325</v>
      </c>
      <c r="D297" s="11" t="s">
        <v>2560</v>
      </c>
      <c r="E297" s="11">
        <v>1</v>
      </c>
    </row>
    <row r="298" spans="1:5" ht="24.75">
      <c r="A298" s="11" t="s">
        <v>363</v>
      </c>
      <c r="B298" s="11" t="s">
        <v>233</v>
      </c>
      <c r="C298" s="11" t="s">
        <v>325</v>
      </c>
      <c r="D298" s="11" t="s">
        <v>2560</v>
      </c>
      <c r="E298" s="11">
        <v>1</v>
      </c>
    </row>
    <row r="299" spans="1:5" ht="24.75">
      <c r="A299" s="11" t="s">
        <v>363</v>
      </c>
      <c r="B299" s="11" t="s">
        <v>233</v>
      </c>
      <c r="C299" s="11" t="s">
        <v>325</v>
      </c>
      <c r="D299" s="11" t="s">
        <v>2561</v>
      </c>
      <c r="E299" s="11">
        <v>1</v>
      </c>
    </row>
    <row r="300" spans="1:5" ht="24.75">
      <c r="A300" s="11" t="s">
        <v>363</v>
      </c>
      <c r="B300" s="11" t="s">
        <v>233</v>
      </c>
      <c r="C300" s="11" t="s">
        <v>325</v>
      </c>
      <c r="D300" s="11" t="s">
        <v>2561</v>
      </c>
      <c r="E300" s="11">
        <v>1</v>
      </c>
    </row>
    <row r="301" spans="1:5" ht="24.75">
      <c r="A301" s="11" t="s">
        <v>363</v>
      </c>
      <c r="B301" s="11" t="s">
        <v>233</v>
      </c>
      <c r="C301" s="11" t="s">
        <v>325</v>
      </c>
      <c r="D301" s="11" t="s">
        <v>2562</v>
      </c>
      <c r="E301" s="11">
        <v>1</v>
      </c>
    </row>
    <row r="302" spans="1:5" ht="24.75">
      <c r="A302" s="11" t="s">
        <v>363</v>
      </c>
      <c r="B302" s="11" t="s">
        <v>233</v>
      </c>
      <c r="C302" s="11" t="s">
        <v>325</v>
      </c>
      <c r="D302" s="11" t="s">
        <v>2562</v>
      </c>
      <c r="E302" s="11">
        <v>1</v>
      </c>
    </row>
    <row r="303" spans="1:5" ht="24.75">
      <c r="A303" s="11" t="s">
        <v>363</v>
      </c>
      <c r="B303" s="11" t="s">
        <v>233</v>
      </c>
      <c r="C303" s="11" t="s">
        <v>325</v>
      </c>
      <c r="D303" s="11" t="s">
        <v>2563</v>
      </c>
      <c r="E303" s="11">
        <v>1</v>
      </c>
    </row>
    <row r="304" spans="1:5" ht="24.75">
      <c r="A304" s="11" t="s">
        <v>363</v>
      </c>
      <c r="B304" s="11" t="s">
        <v>233</v>
      </c>
      <c r="C304" s="11" t="s">
        <v>325</v>
      </c>
      <c r="D304" s="11" t="s">
        <v>2563</v>
      </c>
      <c r="E304" s="11">
        <v>1</v>
      </c>
    </row>
    <row r="305" spans="1:5" ht="24.75">
      <c r="A305" s="11" t="s">
        <v>363</v>
      </c>
      <c r="B305" s="11" t="s">
        <v>233</v>
      </c>
      <c r="C305" s="11" t="s">
        <v>325</v>
      </c>
      <c r="D305" s="11" t="s">
        <v>2564</v>
      </c>
      <c r="E305" s="11">
        <v>1</v>
      </c>
    </row>
    <row r="306" spans="1:5" ht="24.75">
      <c r="A306" s="11" t="s">
        <v>363</v>
      </c>
      <c r="B306" s="11" t="s">
        <v>233</v>
      </c>
      <c r="C306" s="11" t="s">
        <v>325</v>
      </c>
      <c r="D306" s="11" t="s">
        <v>2564</v>
      </c>
      <c r="E306" s="11">
        <v>1</v>
      </c>
    </row>
    <row r="307" spans="1:5" ht="24.75">
      <c r="A307" s="11" t="s">
        <v>363</v>
      </c>
      <c r="B307" s="11" t="s">
        <v>233</v>
      </c>
      <c r="C307" s="11" t="s">
        <v>325</v>
      </c>
      <c r="D307" s="11" t="s">
        <v>2565</v>
      </c>
      <c r="E307" s="11">
        <v>1</v>
      </c>
    </row>
    <row r="308" spans="1:5" ht="24.75">
      <c r="A308" s="11" t="s">
        <v>363</v>
      </c>
      <c r="B308" s="11" t="s">
        <v>233</v>
      </c>
      <c r="C308" s="11" t="s">
        <v>325</v>
      </c>
      <c r="D308" s="11" t="s">
        <v>2565</v>
      </c>
      <c r="E308" s="11">
        <v>1</v>
      </c>
    </row>
    <row r="309" spans="1:5" ht="24.75">
      <c r="A309" s="11" t="s">
        <v>363</v>
      </c>
      <c r="B309" s="11" t="s">
        <v>233</v>
      </c>
      <c r="C309" s="11" t="s">
        <v>325</v>
      </c>
      <c r="D309" s="11" t="s">
        <v>2566</v>
      </c>
      <c r="E309" s="11">
        <v>1</v>
      </c>
    </row>
    <row r="310" spans="1:5" ht="24.75">
      <c r="A310" s="11" t="s">
        <v>363</v>
      </c>
      <c r="B310" s="11" t="s">
        <v>233</v>
      </c>
      <c r="C310" s="11" t="s">
        <v>325</v>
      </c>
      <c r="D310" s="11" t="s">
        <v>2566</v>
      </c>
      <c r="E310" s="11">
        <v>1</v>
      </c>
    </row>
    <row r="311" spans="1:5" ht="24.75">
      <c r="A311" s="11" t="s">
        <v>363</v>
      </c>
      <c r="B311" s="11" t="s">
        <v>233</v>
      </c>
      <c r="C311" s="11" t="s">
        <v>325</v>
      </c>
      <c r="D311" s="11" t="s">
        <v>2567</v>
      </c>
      <c r="E311" s="11">
        <v>1</v>
      </c>
    </row>
    <row r="312" spans="1:5" ht="24.75">
      <c r="A312" s="11" t="s">
        <v>363</v>
      </c>
      <c r="B312" s="11" t="s">
        <v>233</v>
      </c>
      <c r="C312" s="11" t="s">
        <v>325</v>
      </c>
      <c r="D312" s="11" t="s">
        <v>2567</v>
      </c>
      <c r="E312" s="11">
        <v>1</v>
      </c>
    </row>
    <row r="313" spans="1:5" ht="24.75">
      <c r="A313" s="11" t="s">
        <v>363</v>
      </c>
      <c r="B313" s="11" t="s">
        <v>233</v>
      </c>
      <c r="C313" s="11" t="s">
        <v>325</v>
      </c>
      <c r="D313" s="11" t="s">
        <v>2568</v>
      </c>
      <c r="E313" s="11">
        <v>1</v>
      </c>
    </row>
    <row r="314" spans="1:5" ht="24.75">
      <c r="A314" s="11" t="s">
        <v>363</v>
      </c>
      <c r="B314" s="11" t="s">
        <v>233</v>
      </c>
      <c r="C314" s="11" t="s">
        <v>325</v>
      </c>
      <c r="D314" s="11" t="s">
        <v>2568</v>
      </c>
      <c r="E314" s="11">
        <v>1</v>
      </c>
    </row>
    <row r="315" spans="1:5" ht="24.75">
      <c r="A315" s="11" t="s">
        <v>363</v>
      </c>
      <c r="B315" s="11" t="s">
        <v>233</v>
      </c>
      <c r="C315" s="11" t="s">
        <v>325</v>
      </c>
      <c r="D315" s="11" t="s">
        <v>2569</v>
      </c>
      <c r="E315" s="11">
        <v>1</v>
      </c>
    </row>
    <row r="316" spans="1:5" ht="24.75">
      <c r="A316" s="11" t="s">
        <v>363</v>
      </c>
      <c r="B316" s="11" t="s">
        <v>233</v>
      </c>
      <c r="C316" s="11" t="s">
        <v>325</v>
      </c>
      <c r="D316" s="11" t="s">
        <v>2569</v>
      </c>
      <c r="E316" s="11">
        <v>1</v>
      </c>
    </row>
    <row r="317" spans="1:5" ht="24.75">
      <c r="A317" s="11" t="s">
        <v>363</v>
      </c>
      <c r="B317" s="11" t="s">
        <v>233</v>
      </c>
      <c r="C317" s="11" t="s">
        <v>325</v>
      </c>
      <c r="D317" s="11" t="s">
        <v>2570</v>
      </c>
      <c r="E317" s="11">
        <v>1</v>
      </c>
    </row>
    <row r="318" spans="1:5" ht="24.75">
      <c r="A318" s="11" t="s">
        <v>363</v>
      </c>
      <c r="B318" s="11" t="s">
        <v>233</v>
      </c>
      <c r="C318" s="11" t="s">
        <v>325</v>
      </c>
      <c r="D318" s="11" t="s">
        <v>2570</v>
      </c>
      <c r="E318" s="11">
        <v>1</v>
      </c>
    </row>
    <row r="319" spans="1:5" ht="24.75">
      <c r="A319" s="11" t="s">
        <v>363</v>
      </c>
      <c r="B319" s="11" t="s">
        <v>233</v>
      </c>
      <c r="C319" s="11" t="s">
        <v>325</v>
      </c>
      <c r="D319" s="11" t="s">
        <v>2571</v>
      </c>
      <c r="E319" s="11">
        <v>1</v>
      </c>
    </row>
    <row r="320" spans="1:5" ht="24.75">
      <c r="A320" s="11" t="s">
        <v>363</v>
      </c>
      <c r="B320" s="11" t="s">
        <v>233</v>
      </c>
      <c r="C320" s="11" t="s">
        <v>325</v>
      </c>
      <c r="D320" s="11" t="s">
        <v>2571</v>
      </c>
      <c r="E320" s="11">
        <v>1</v>
      </c>
    </row>
    <row r="321" spans="1:5" ht="24.75">
      <c r="A321" s="11" t="s">
        <v>363</v>
      </c>
      <c r="B321" s="11" t="s">
        <v>233</v>
      </c>
      <c r="C321" s="11" t="s">
        <v>325</v>
      </c>
      <c r="D321" s="11" t="s">
        <v>2572</v>
      </c>
      <c r="E321" s="11">
        <v>1</v>
      </c>
    </row>
    <row r="322" spans="1:5" ht="24.75">
      <c r="A322" s="11" t="s">
        <v>363</v>
      </c>
      <c r="B322" s="11" t="s">
        <v>233</v>
      </c>
      <c r="C322" s="11" t="s">
        <v>325</v>
      </c>
      <c r="D322" s="11" t="s">
        <v>2572</v>
      </c>
      <c r="E322" s="11">
        <v>1</v>
      </c>
    </row>
    <row r="323" spans="1:5" ht="24.75">
      <c r="A323" s="11" t="s">
        <v>363</v>
      </c>
      <c r="B323" s="11" t="s">
        <v>233</v>
      </c>
      <c r="C323" s="11" t="s">
        <v>325</v>
      </c>
      <c r="D323" s="11" t="s">
        <v>2573</v>
      </c>
      <c r="E323" s="11">
        <v>1</v>
      </c>
    </row>
    <row r="324" spans="1:5" ht="24.75">
      <c r="A324" s="11" t="s">
        <v>363</v>
      </c>
      <c r="B324" s="11" t="s">
        <v>233</v>
      </c>
      <c r="C324" s="11" t="s">
        <v>325</v>
      </c>
      <c r="D324" s="11" t="s">
        <v>2573</v>
      </c>
      <c r="E324" s="11">
        <v>1</v>
      </c>
    </row>
    <row r="325" spans="1:5" ht="24.75">
      <c r="A325" s="11" t="s">
        <v>363</v>
      </c>
      <c r="B325" s="11" t="s">
        <v>233</v>
      </c>
      <c r="C325" s="11" t="s">
        <v>325</v>
      </c>
      <c r="D325" s="11" t="s">
        <v>2574</v>
      </c>
      <c r="E325" s="11">
        <v>1</v>
      </c>
    </row>
    <row r="326" spans="1:5" ht="24.75">
      <c r="A326" s="11" t="s">
        <v>363</v>
      </c>
      <c r="B326" s="11" t="s">
        <v>233</v>
      </c>
      <c r="C326" s="11" t="s">
        <v>325</v>
      </c>
      <c r="D326" s="11" t="s">
        <v>2574</v>
      </c>
      <c r="E326" s="11">
        <v>1</v>
      </c>
    </row>
    <row r="327" spans="1:5" ht="24.75">
      <c r="A327" s="11" t="s">
        <v>363</v>
      </c>
      <c r="B327" s="11" t="s">
        <v>233</v>
      </c>
      <c r="C327" s="11" t="s">
        <v>325</v>
      </c>
      <c r="D327" s="11" t="s">
        <v>2575</v>
      </c>
      <c r="E327" s="11">
        <v>1</v>
      </c>
    </row>
    <row r="328" spans="1:5" ht="24.75">
      <c r="A328" s="11" t="s">
        <v>363</v>
      </c>
      <c r="B328" s="11" t="s">
        <v>233</v>
      </c>
      <c r="C328" s="11" t="s">
        <v>325</v>
      </c>
      <c r="D328" s="11" t="s">
        <v>2575</v>
      </c>
      <c r="E328" s="11">
        <v>1</v>
      </c>
    </row>
    <row r="329" spans="1:5" ht="24.75">
      <c r="A329" s="11" t="s">
        <v>363</v>
      </c>
      <c r="B329" s="11" t="s">
        <v>233</v>
      </c>
      <c r="C329" s="11" t="s">
        <v>325</v>
      </c>
      <c r="D329" s="11" t="s">
        <v>2576</v>
      </c>
      <c r="E329" s="11">
        <v>1</v>
      </c>
    </row>
    <row r="330" spans="1:5" ht="24.75">
      <c r="A330" s="11" t="s">
        <v>363</v>
      </c>
      <c r="B330" s="11" t="s">
        <v>233</v>
      </c>
      <c r="C330" s="11" t="s">
        <v>325</v>
      </c>
      <c r="D330" s="11" t="s">
        <v>2576</v>
      </c>
      <c r="E330" s="11">
        <v>1</v>
      </c>
    </row>
    <row r="331" spans="1:5" ht="24.75">
      <c r="A331" s="11" t="s">
        <v>363</v>
      </c>
      <c r="B331" s="11" t="s">
        <v>233</v>
      </c>
      <c r="C331" s="11" t="s">
        <v>325</v>
      </c>
      <c r="D331" s="11" t="s">
        <v>2577</v>
      </c>
      <c r="E331" s="11">
        <v>1</v>
      </c>
    </row>
    <row r="332" spans="1:5" ht="24.75">
      <c r="A332" s="11" t="s">
        <v>363</v>
      </c>
      <c r="B332" s="11" t="s">
        <v>233</v>
      </c>
      <c r="C332" s="11" t="s">
        <v>325</v>
      </c>
      <c r="D332" s="11" t="s">
        <v>2577</v>
      </c>
      <c r="E332" s="11">
        <v>1</v>
      </c>
    </row>
    <row r="333" spans="1:5" ht="24.75">
      <c r="A333" s="11" t="s">
        <v>363</v>
      </c>
      <c r="B333" s="11" t="s">
        <v>233</v>
      </c>
      <c r="C333" s="11" t="s">
        <v>325</v>
      </c>
      <c r="D333" s="11" t="s">
        <v>2578</v>
      </c>
      <c r="E333" s="11">
        <v>1</v>
      </c>
    </row>
    <row r="334" spans="1:5" ht="24.75">
      <c r="A334" s="11" t="s">
        <v>363</v>
      </c>
      <c r="B334" s="11" t="s">
        <v>233</v>
      </c>
      <c r="C334" s="11" t="s">
        <v>325</v>
      </c>
      <c r="D334" s="11" t="s">
        <v>2578</v>
      </c>
      <c r="E334" s="11">
        <v>1</v>
      </c>
    </row>
    <row r="335" spans="1:5" ht="24.75">
      <c r="A335" s="11" t="s">
        <v>363</v>
      </c>
      <c r="B335" s="11" t="s">
        <v>233</v>
      </c>
      <c r="C335" s="11" t="s">
        <v>325</v>
      </c>
      <c r="D335" s="11" t="s">
        <v>2579</v>
      </c>
      <c r="E335" s="11">
        <v>1</v>
      </c>
    </row>
    <row r="336" spans="1:5" ht="24.75">
      <c r="A336" s="11" t="s">
        <v>363</v>
      </c>
      <c r="B336" s="11" t="s">
        <v>233</v>
      </c>
      <c r="C336" s="11" t="s">
        <v>325</v>
      </c>
      <c r="D336" s="11" t="s">
        <v>2579</v>
      </c>
      <c r="E336" s="11">
        <v>1</v>
      </c>
    </row>
    <row r="337" spans="1:5" ht="24.75">
      <c r="A337" s="11" t="s">
        <v>363</v>
      </c>
      <c r="B337" s="11" t="s">
        <v>233</v>
      </c>
      <c r="C337" s="11" t="s">
        <v>325</v>
      </c>
      <c r="D337" s="11" t="s">
        <v>2580</v>
      </c>
      <c r="E337" s="11">
        <v>1</v>
      </c>
    </row>
    <row r="338" spans="1:5" ht="24.75">
      <c r="A338" s="11" t="s">
        <v>363</v>
      </c>
      <c r="B338" s="11" t="s">
        <v>233</v>
      </c>
      <c r="C338" s="11" t="s">
        <v>325</v>
      </c>
      <c r="D338" s="11" t="s">
        <v>2580</v>
      </c>
      <c r="E338" s="11">
        <v>1</v>
      </c>
    </row>
    <row r="339" spans="1:5" ht="24.75">
      <c r="A339" s="11" t="s">
        <v>363</v>
      </c>
      <c r="B339" s="11" t="s">
        <v>233</v>
      </c>
      <c r="C339" s="11" t="s">
        <v>325</v>
      </c>
      <c r="D339" s="11" t="s">
        <v>2581</v>
      </c>
      <c r="E339" s="11">
        <v>1</v>
      </c>
    </row>
    <row r="340" spans="1:5" ht="24.75">
      <c r="A340" s="11" t="s">
        <v>363</v>
      </c>
      <c r="B340" s="11" t="s">
        <v>233</v>
      </c>
      <c r="C340" s="11" t="s">
        <v>325</v>
      </c>
      <c r="D340" s="11" t="s">
        <v>2581</v>
      </c>
      <c r="E340" s="11">
        <v>1</v>
      </c>
    </row>
    <row r="341" spans="1:5" ht="24.75">
      <c r="A341" s="11" t="s">
        <v>363</v>
      </c>
      <c r="B341" s="11" t="s">
        <v>233</v>
      </c>
      <c r="C341" s="11" t="s">
        <v>325</v>
      </c>
      <c r="D341" s="11" t="s">
        <v>2582</v>
      </c>
      <c r="E341" s="11">
        <v>1</v>
      </c>
    </row>
    <row r="342" spans="1:5" ht="24.75">
      <c r="A342" s="11" t="s">
        <v>363</v>
      </c>
      <c r="B342" s="11" t="s">
        <v>233</v>
      </c>
      <c r="C342" s="11" t="s">
        <v>325</v>
      </c>
      <c r="D342" s="11" t="s">
        <v>2582</v>
      </c>
      <c r="E342" s="11">
        <v>1</v>
      </c>
    </row>
    <row r="343" spans="1:5" ht="24.75">
      <c r="A343" s="11" t="s">
        <v>363</v>
      </c>
      <c r="B343" s="11" t="s">
        <v>233</v>
      </c>
      <c r="C343" s="11" t="s">
        <v>325</v>
      </c>
      <c r="D343" s="11" t="s">
        <v>2583</v>
      </c>
      <c r="E343" s="11">
        <v>1</v>
      </c>
    </row>
    <row r="344" spans="1:5" ht="24.75">
      <c r="A344" s="11" t="s">
        <v>363</v>
      </c>
      <c r="B344" s="11" t="s">
        <v>233</v>
      </c>
      <c r="C344" s="11" t="s">
        <v>325</v>
      </c>
      <c r="D344" s="11" t="s">
        <v>2583</v>
      </c>
      <c r="E344" s="11">
        <v>1</v>
      </c>
    </row>
    <row r="345" spans="1:5" ht="24.75">
      <c r="A345" s="11" t="s">
        <v>363</v>
      </c>
      <c r="B345" s="11" t="s">
        <v>233</v>
      </c>
      <c r="C345" s="11" t="s">
        <v>325</v>
      </c>
      <c r="D345" s="11" t="s">
        <v>2584</v>
      </c>
      <c r="E345" s="11">
        <v>1</v>
      </c>
    </row>
    <row r="346" spans="1:5" ht="24.75">
      <c r="A346" s="11" t="s">
        <v>363</v>
      </c>
      <c r="B346" s="11" t="s">
        <v>233</v>
      </c>
      <c r="C346" s="11" t="s">
        <v>325</v>
      </c>
      <c r="D346" s="11" t="s">
        <v>2584</v>
      </c>
      <c r="E346" s="11">
        <v>1</v>
      </c>
    </row>
    <row r="347" spans="1:5" ht="24.75">
      <c r="A347" s="11" t="s">
        <v>363</v>
      </c>
      <c r="B347" s="11" t="s">
        <v>233</v>
      </c>
      <c r="C347" s="11" t="s">
        <v>325</v>
      </c>
      <c r="D347" s="11" t="s">
        <v>2585</v>
      </c>
      <c r="E347" s="11">
        <v>1</v>
      </c>
    </row>
    <row r="348" spans="1:5" ht="24.75">
      <c r="A348" s="11" t="s">
        <v>363</v>
      </c>
      <c r="B348" s="11" t="s">
        <v>233</v>
      </c>
      <c r="C348" s="11" t="s">
        <v>325</v>
      </c>
      <c r="D348" s="11" t="s">
        <v>2585</v>
      </c>
      <c r="E348" s="11">
        <v>1</v>
      </c>
    </row>
    <row r="349" spans="1:5" ht="24.75">
      <c r="A349" s="11" t="s">
        <v>363</v>
      </c>
      <c r="B349" s="11" t="s">
        <v>233</v>
      </c>
      <c r="C349" s="11" t="s">
        <v>325</v>
      </c>
      <c r="D349" s="11" t="s">
        <v>2586</v>
      </c>
      <c r="E349" s="11">
        <v>1</v>
      </c>
    </row>
    <row r="350" spans="1:5" ht="24.75">
      <c r="A350" s="11" t="s">
        <v>363</v>
      </c>
      <c r="B350" s="11" t="s">
        <v>233</v>
      </c>
      <c r="C350" s="11" t="s">
        <v>325</v>
      </c>
      <c r="D350" s="11" t="s">
        <v>2586</v>
      </c>
      <c r="E350" s="11">
        <v>1</v>
      </c>
    </row>
    <row r="351" spans="1:5" ht="24.75">
      <c r="A351" s="11" t="s">
        <v>363</v>
      </c>
      <c r="B351" s="11" t="s">
        <v>233</v>
      </c>
      <c r="C351" s="11" t="s">
        <v>325</v>
      </c>
      <c r="D351" s="11" t="s">
        <v>2587</v>
      </c>
      <c r="E351" s="11">
        <v>1</v>
      </c>
    </row>
    <row r="352" spans="1:5" ht="24.75">
      <c r="A352" s="11" t="s">
        <v>363</v>
      </c>
      <c r="B352" s="11" t="s">
        <v>233</v>
      </c>
      <c r="C352" s="11" t="s">
        <v>325</v>
      </c>
      <c r="D352" s="11" t="s">
        <v>2587</v>
      </c>
      <c r="E352" s="11">
        <v>1</v>
      </c>
    </row>
    <row r="353" spans="1:5" ht="24.75">
      <c r="A353" s="11" t="s">
        <v>363</v>
      </c>
      <c r="B353" s="11" t="s">
        <v>233</v>
      </c>
      <c r="C353" s="11" t="s">
        <v>325</v>
      </c>
      <c r="D353" s="11" t="s">
        <v>2588</v>
      </c>
      <c r="E353" s="11">
        <v>1</v>
      </c>
    </row>
    <row r="354" spans="1:5" ht="24.75">
      <c r="A354" s="11" t="s">
        <v>363</v>
      </c>
      <c r="B354" s="11" t="s">
        <v>233</v>
      </c>
      <c r="C354" s="11" t="s">
        <v>325</v>
      </c>
      <c r="D354" s="11" t="s">
        <v>2588</v>
      </c>
      <c r="E354" s="11">
        <v>1</v>
      </c>
    </row>
    <row r="355" spans="1:5" ht="24.75">
      <c r="A355" s="11" t="s">
        <v>363</v>
      </c>
      <c r="B355" s="11" t="s">
        <v>233</v>
      </c>
      <c r="C355" s="11" t="s">
        <v>325</v>
      </c>
      <c r="D355" s="11" t="s">
        <v>2589</v>
      </c>
      <c r="E355" s="11">
        <v>1</v>
      </c>
    </row>
    <row r="356" spans="1:5" ht="24.75">
      <c r="A356" s="11" t="s">
        <v>363</v>
      </c>
      <c r="B356" s="11" t="s">
        <v>233</v>
      </c>
      <c r="C356" s="11" t="s">
        <v>325</v>
      </c>
      <c r="D356" s="11" t="s">
        <v>2589</v>
      </c>
      <c r="E356" s="11">
        <v>1</v>
      </c>
    </row>
    <row r="357" spans="1:5" ht="24.75">
      <c r="A357" s="11" t="s">
        <v>363</v>
      </c>
      <c r="B357" s="11" t="s">
        <v>233</v>
      </c>
      <c r="C357" s="11" t="s">
        <v>325</v>
      </c>
      <c r="D357" s="11" t="s">
        <v>2590</v>
      </c>
      <c r="E357" s="11">
        <v>1</v>
      </c>
    </row>
    <row r="358" spans="1:5" ht="24.75">
      <c r="A358" s="11" t="s">
        <v>363</v>
      </c>
      <c r="B358" s="11" t="s">
        <v>233</v>
      </c>
      <c r="C358" s="11" t="s">
        <v>325</v>
      </c>
      <c r="D358" s="11" t="s">
        <v>2590</v>
      </c>
      <c r="E358" s="11">
        <v>1</v>
      </c>
    </row>
    <row r="359" spans="1:5" ht="24.75">
      <c r="A359" s="11" t="s">
        <v>363</v>
      </c>
      <c r="B359" s="11" t="s">
        <v>233</v>
      </c>
      <c r="C359" s="11" t="s">
        <v>325</v>
      </c>
      <c r="D359" s="11" t="s">
        <v>2591</v>
      </c>
      <c r="E359" s="11">
        <v>1</v>
      </c>
    </row>
    <row r="360" spans="1:5" ht="24.75">
      <c r="A360" s="11" t="s">
        <v>363</v>
      </c>
      <c r="B360" s="11" t="s">
        <v>233</v>
      </c>
      <c r="C360" s="11" t="s">
        <v>325</v>
      </c>
      <c r="D360" s="11" t="s">
        <v>2591</v>
      </c>
      <c r="E360" s="11">
        <v>1</v>
      </c>
    </row>
    <row r="361" spans="1:5" ht="24.75">
      <c r="A361" s="11" t="s">
        <v>363</v>
      </c>
      <c r="B361" s="11" t="s">
        <v>233</v>
      </c>
      <c r="C361" s="11" t="s">
        <v>325</v>
      </c>
      <c r="D361" s="11" t="s">
        <v>2592</v>
      </c>
      <c r="E361" s="11">
        <v>1</v>
      </c>
    </row>
    <row r="362" spans="1:5" ht="24.75">
      <c r="A362" s="11" t="s">
        <v>363</v>
      </c>
      <c r="B362" s="11" t="s">
        <v>233</v>
      </c>
      <c r="C362" s="11" t="s">
        <v>325</v>
      </c>
      <c r="D362" s="11" t="s">
        <v>2592</v>
      </c>
      <c r="E362" s="11">
        <v>1</v>
      </c>
    </row>
    <row r="363" spans="1:5" ht="24.75">
      <c r="A363" s="11" t="s">
        <v>363</v>
      </c>
      <c r="B363" s="11" t="s">
        <v>233</v>
      </c>
      <c r="C363" s="11" t="s">
        <v>325</v>
      </c>
      <c r="D363" s="11" t="s">
        <v>2593</v>
      </c>
      <c r="E363" s="11">
        <v>1</v>
      </c>
    </row>
    <row r="364" spans="1:5" ht="24.75">
      <c r="A364" s="11" t="s">
        <v>363</v>
      </c>
      <c r="B364" s="11" t="s">
        <v>233</v>
      </c>
      <c r="C364" s="11" t="s">
        <v>325</v>
      </c>
      <c r="D364" s="11" t="s">
        <v>2593</v>
      </c>
      <c r="E364" s="11">
        <v>1</v>
      </c>
    </row>
    <row r="365" spans="1:5" ht="24.75">
      <c r="A365" s="11" t="s">
        <v>363</v>
      </c>
      <c r="B365" s="11" t="s">
        <v>233</v>
      </c>
      <c r="C365" s="11" t="s">
        <v>325</v>
      </c>
      <c r="D365" s="11" t="s">
        <v>2594</v>
      </c>
      <c r="E365" s="11">
        <v>1</v>
      </c>
    </row>
    <row r="366" spans="1:5" ht="24.75">
      <c r="A366" s="11" t="s">
        <v>363</v>
      </c>
      <c r="B366" s="11" t="s">
        <v>233</v>
      </c>
      <c r="C366" s="11" t="s">
        <v>325</v>
      </c>
      <c r="D366" s="11" t="s">
        <v>2594</v>
      </c>
      <c r="E366" s="11">
        <v>1</v>
      </c>
    </row>
    <row r="367" spans="1:5" ht="24.75">
      <c r="A367" s="11" t="s">
        <v>363</v>
      </c>
      <c r="B367" s="11" t="s">
        <v>233</v>
      </c>
      <c r="C367" s="11" t="s">
        <v>325</v>
      </c>
      <c r="D367" s="11" t="s">
        <v>2595</v>
      </c>
      <c r="E367" s="11">
        <v>1</v>
      </c>
    </row>
    <row r="368" spans="1:5" ht="24.75">
      <c r="A368" s="11" t="s">
        <v>363</v>
      </c>
      <c r="B368" s="11" t="s">
        <v>233</v>
      </c>
      <c r="C368" s="11" t="s">
        <v>325</v>
      </c>
      <c r="D368" s="11" t="s">
        <v>2595</v>
      </c>
      <c r="E368" s="11">
        <v>1</v>
      </c>
    </row>
    <row r="369" spans="1:5" ht="24.75">
      <c r="A369" s="11" t="s">
        <v>363</v>
      </c>
      <c r="B369" s="11" t="s">
        <v>233</v>
      </c>
      <c r="C369" s="11" t="s">
        <v>325</v>
      </c>
      <c r="D369" s="11" t="s">
        <v>2596</v>
      </c>
      <c r="E369" s="11">
        <v>1</v>
      </c>
    </row>
    <row r="370" spans="1:5" ht="24.75">
      <c r="A370" s="11" t="s">
        <v>363</v>
      </c>
      <c r="B370" s="11" t="s">
        <v>233</v>
      </c>
      <c r="C370" s="11" t="s">
        <v>325</v>
      </c>
      <c r="D370" s="11" t="s">
        <v>2596</v>
      </c>
      <c r="E370" s="11">
        <v>1</v>
      </c>
    </row>
    <row r="371" spans="1:5" ht="24.75">
      <c r="A371" s="11" t="s">
        <v>363</v>
      </c>
      <c r="B371" s="11" t="s">
        <v>233</v>
      </c>
      <c r="C371" s="11" t="s">
        <v>325</v>
      </c>
      <c r="D371" s="11" t="s">
        <v>2597</v>
      </c>
      <c r="E371" s="11">
        <v>1</v>
      </c>
    </row>
    <row r="372" spans="1:5" ht="24.75">
      <c r="A372" s="11" t="s">
        <v>363</v>
      </c>
      <c r="B372" s="11" t="s">
        <v>233</v>
      </c>
      <c r="C372" s="11" t="s">
        <v>325</v>
      </c>
      <c r="D372" s="11" t="s">
        <v>2597</v>
      </c>
      <c r="E372" s="11">
        <v>1</v>
      </c>
    </row>
    <row r="373" spans="1:5" ht="24.75">
      <c r="A373" s="11" t="s">
        <v>363</v>
      </c>
      <c r="B373" s="11" t="s">
        <v>233</v>
      </c>
      <c r="C373" s="11" t="s">
        <v>325</v>
      </c>
      <c r="D373" s="11" t="s">
        <v>2598</v>
      </c>
      <c r="E373" s="11">
        <v>1</v>
      </c>
    </row>
    <row r="374" spans="1:5" ht="24.75">
      <c r="A374" s="11" t="s">
        <v>363</v>
      </c>
      <c r="B374" s="11" t="s">
        <v>233</v>
      </c>
      <c r="C374" s="11" t="s">
        <v>325</v>
      </c>
      <c r="D374" s="11" t="s">
        <v>2598</v>
      </c>
      <c r="E374" s="11">
        <v>1</v>
      </c>
    </row>
    <row r="375" spans="1:5" ht="24.75">
      <c r="A375" s="11" t="s">
        <v>363</v>
      </c>
      <c r="B375" s="11" t="s">
        <v>233</v>
      </c>
      <c r="C375" s="11" t="s">
        <v>325</v>
      </c>
      <c r="D375" s="11" t="s">
        <v>2599</v>
      </c>
      <c r="E375" s="11">
        <v>1</v>
      </c>
    </row>
    <row r="376" spans="1:5" ht="24.75">
      <c r="A376" s="11" t="s">
        <v>363</v>
      </c>
      <c r="B376" s="11" t="s">
        <v>233</v>
      </c>
      <c r="C376" s="11" t="s">
        <v>325</v>
      </c>
      <c r="D376" s="11" t="s">
        <v>2599</v>
      </c>
      <c r="E376" s="11">
        <v>1</v>
      </c>
    </row>
    <row r="377" spans="1:5" ht="24.75">
      <c r="A377" s="11" t="s">
        <v>363</v>
      </c>
      <c r="B377" s="11" t="s">
        <v>233</v>
      </c>
      <c r="C377" s="11" t="s">
        <v>325</v>
      </c>
      <c r="D377" s="11" t="s">
        <v>2600</v>
      </c>
      <c r="E377" s="11">
        <v>1</v>
      </c>
    </row>
    <row r="378" spans="1:5" ht="24.75">
      <c r="A378" s="11" t="s">
        <v>363</v>
      </c>
      <c r="B378" s="11" t="s">
        <v>233</v>
      </c>
      <c r="C378" s="11" t="s">
        <v>325</v>
      </c>
      <c r="D378" s="11" t="s">
        <v>2600</v>
      </c>
      <c r="E378" s="11">
        <v>1</v>
      </c>
    </row>
    <row r="379" spans="1:5" ht="24.75">
      <c r="A379" s="11" t="s">
        <v>363</v>
      </c>
      <c r="B379" s="11" t="s">
        <v>233</v>
      </c>
      <c r="C379" s="11" t="s">
        <v>325</v>
      </c>
      <c r="D379" s="11" t="s">
        <v>2601</v>
      </c>
      <c r="E379" s="11">
        <v>1</v>
      </c>
    </row>
    <row r="380" spans="1:5" ht="24.75">
      <c r="A380" s="11" t="s">
        <v>363</v>
      </c>
      <c r="B380" s="11" t="s">
        <v>233</v>
      </c>
      <c r="C380" s="11" t="s">
        <v>325</v>
      </c>
      <c r="D380" s="11" t="s">
        <v>2601</v>
      </c>
      <c r="E380" s="11">
        <v>1</v>
      </c>
    </row>
    <row r="381" spans="1:5" ht="24.75">
      <c r="A381" s="11" t="s">
        <v>363</v>
      </c>
      <c r="B381" s="11" t="s">
        <v>233</v>
      </c>
      <c r="C381" s="11" t="s">
        <v>325</v>
      </c>
      <c r="D381" s="11" t="s">
        <v>2602</v>
      </c>
      <c r="E381" s="11">
        <v>1</v>
      </c>
    </row>
    <row r="382" spans="1:5" ht="24.75">
      <c r="A382" s="11" t="s">
        <v>363</v>
      </c>
      <c r="B382" s="11" t="s">
        <v>233</v>
      </c>
      <c r="C382" s="11" t="s">
        <v>325</v>
      </c>
      <c r="D382" s="11" t="s">
        <v>2602</v>
      </c>
      <c r="E382" s="11">
        <v>1</v>
      </c>
    </row>
    <row r="383" spans="1:5" ht="24.75">
      <c r="A383" s="11" t="s">
        <v>363</v>
      </c>
      <c r="B383" s="11" t="s">
        <v>233</v>
      </c>
      <c r="C383" s="11" t="s">
        <v>325</v>
      </c>
      <c r="D383" s="11" t="s">
        <v>2603</v>
      </c>
      <c r="E383" s="11">
        <v>1</v>
      </c>
    </row>
    <row r="384" spans="1:5" ht="24.75">
      <c r="A384" s="11" t="s">
        <v>363</v>
      </c>
      <c r="B384" s="11" t="s">
        <v>233</v>
      </c>
      <c r="C384" s="11" t="s">
        <v>325</v>
      </c>
      <c r="D384" s="11" t="s">
        <v>2603</v>
      </c>
      <c r="E384" s="11">
        <v>1</v>
      </c>
    </row>
    <row r="385" spans="1:5" ht="24.75">
      <c r="A385" s="11" t="s">
        <v>363</v>
      </c>
      <c r="B385" s="11" t="s">
        <v>233</v>
      </c>
      <c r="C385" s="11" t="s">
        <v>325</v>
      </c>
      <c r="D385" s="11" t="s">
        <v>2604</v>
      </c>
      <c r="E385" s="11">
        <v>1</v>
      </c>
    </row>
    <row r="386" spans="1:5" ht="24.75">
      <c r="A386" s="11" t="s">
        <v>363</v>
      </c>
      <c r="B386" s="11" t="s">
        <v>233</v>
      </c>
      <c r="C386" s="11" t="s">
        <v>325</v>
      </c>
      <c r="D386" s="11" t="s">
        <v>2604</v>
      </c>
      <c r="E386" s="11">
        <v>1</v>
      </c>
    </row>
    <row r="387" spans="1:5" ht="24.75">
      <c r="A387" s="11" t="s">
        <v>363</v>
      </c>
      <c r="B387" s="11" t="s">
        <v>233</v>
      </c>
      <c r="C387" s="11" t="s">
        <v>325</v>
      </c>
      <c r="D387" s="11" t="s">
        <v>2605</v>
      </c>
      <c r="E387" s="11">
        <v>1</v>
      </c>
    </row>
    <row r="388" spans="1:5" ht="24.75">
      <c r="A388" s="11" t="s">
        <v>363</v>
      </c>
      <c r="B388" s="11" t="s">
        <v>233</v>
      </c>
      <c r="C388" s="11" t="s">
        <v>325</v>
      </c>
      <c r="D388" s="11" t="s">
        <v>2605</v>
      </c>
      <c r="E388" s="11">
        <v>1</v>
      </c>
    </row>
    <row r="389" spans="1:5" ht="24.75">
      <c r="A389" s="11" t="s">
        <v>363</v>
      </c>
      <c r="B389" s="11" t="s">
        <v>233</v>
      </c>
      <c r="C389" s="11" t="s">
        <v>325</v>
      </c>
      <c r="D389" s="11" t="s">
        <v>2606</v>
      </c>
      <c r="E389" s="11">
        <v>1</v>
      </c>
    </row>
    <row r="390" spans="1:5" ht="24.75">
      <c r="A390" s="11" t="s">
        <v>363</v>
      </c>
      <c r="B390" s="11" t="s">
        <v>233</v>
      </c>
      <c r="C390" s="11" t="s">
        <v>325</v>
      </c>
      <c r="D390" s="11" t="s">
        <v>2606</v>
      </c>
      <c r="E390" s="11">
        <v>1</v>
      </c>
    </row>
    <row r="391" spans="1:5" ht="24.75">
      <c r="A391" s="11" t="s">
        <v>363</v>
      </c>
      <c r="B391" s="11" t="s">
        <v>233</v>
      </c>
      <c r="C391" s="11" t="s">
        <v>325</v>
      </c>
      <c r="D391" s="11" t="s">
        <v>2607</v>
      </c>
      <c r="E391" s="11">
        <v>1</v>
      </c>
    </row>
    <row r="392" spans="1:5" ht="24.75">
      <c r="A392" s="11" t="s">
        <v>363</v>
      </c>
      <c r="B392" s="11" t="s">
        <v>233</v>
      </c>
      <c r="C392" s="11" t="s">
        <v>325</v>
      </c>
      <c r="D392" s="11" t="s">
        <v>2607</v>
      </c>
      <c r="E392" s="11">
        <v>1</v>
      </c>
    </row>
    <row r="393" spans="1:5" ht="24.75">
      <c r="A393" s="11" t="s">
        <v>363</v>
      </c>
      <c r="B393" s="11" t="s">
        <v>233</v>
      </c>
      <c r="C393" s="11" t="s">
        <v>325</v>
      </c>
      <c r="D393" s="11" t="s">
        <v>2608</v>
      </c>
      <c r="E393" s="11">
        <v>1</v>
      </c>
    </row>
    <row r="394" spans="1:5" ht="24.75">
      <c r="A394" s="11" t="s">
        <v>363</v>
      </c>
      <c r="B394" s="11" t="s">
        <v>233</v>
      </c>
      <c r="C394" s="11" t="s">
        <v>325</v>
      </c>
      <c r="D394" s="11" t="s">
        <v>2608</v>
      </c>
      <c r="E394" s="11">
        <v>1</v>
      </c>
    </row>
    <row r="395" spans="1:5" ht="24.75">
      <c r="A395" s="11" t="s">
        <v>363</v>
      </c>
      <c r="B395" s="11" t="s">
        <v>233</v>
      </c>
      <c r="C395" s="11" t="s">
        <v>325</v>
      </c>
      <c r="D395" s="11" t="s">
        <v>2609</v>
      </c>
      <c r="E395" s="11">
        <v>1</v>
      </c>
    </row>
    <row r="396" spans="1:5" ht="24.75">
      <c r="A396" s="11" t="s">
        <v>363</v>
      </c>
      <c r="B396" s="11" t="s">
        <v>233</v>
      </c>
      <c r="C396" s="11" t="s">
        <v>325</v>
      </c>
      <c r="D396" s="11" t="s">
        <v>2609</v>
      </c>
      <c r="E396" s="11">
        <v>1</v>
      </c>
    </row>
    <row r="397" spans="1:5" ht="24.75">
      <c r="A397" s="11" t="s">
        <v>363</v>
      </c>
      <c r="B397" s="11" t="s">
        <v>233</v>
      </c>
      <c r="C397" s="11" t="s">
        <v>325</v>
      </c>
      <c r="D397" s="11" t="s">
        <v>2610</v>
      </c>
      <c r="E397" s="11">
        <v>1</v>
      </c>
    </row>
    <row r="398" spans="1:5" ht="24.75">
      <c r="A398" s="11" t="s">
        <v>363</v>
      </c>
      <c r="B398" s="11" t="s">
        <v>233</v>
      </c>
      <c r="C398" s="11" t="s">
        <v>325</v>
      </c>
      <c r="D398" s="11" t="s">
        <v>2610</v>
      </c>
      <c r="E398" s="11">
        <v>1</v>
      </c>
    </row>
    <row r="399" spans="1:5" ht="24.75">
      <c r="A399" s="11" t="s">
        <v>363</v>
      </c>
      <c r="B399" s="11" t="s">
        <v>233</v>
      </c>
      <c r="C399" s="11" t="s">
        <v>325</v>
      </c>
      <c r="D399" s="11" t="s">
        <v>2611</v>
      </c>
      <c r="E399" s="11">
        <v>1</v>
      </c>
    </row>
    <row r="400" spans="1:5" ht="24.75">
      <c r="A400" s="11" t="s">
        <v>363</v>
      </c>
      <c r="B400" s="11" t="s">
        <v>233</v>
      </c>
      <c r="C400" s="11" t="s">
        <v>325</v>
      </c>
      <c r="D400" s="11" t="s">
        <v>2611</v>
      </c>
      <c r="E400" s="11">
        <v>1</v>
      </c>
    </row>
    <row r="401" spans="1:5" ht="24.75">
      <c r="A401" s="11" t="s">
        <v>363</v>
      </c>
      <c r="B401" s="11" t="s">
        <v>233</v>
      </c>
      <c r="C401" s="11" t="s">
        <v>325</v>
      </c>
      <c r="D401" s="11" t="s">
        <v>2612</v>
      </c>
      <c r="E401" s="11">
        <v>1</v>
      </c>
    </row>
    <row r="402" spans="1:5" ht="24.75">
      <c r="A402" s="11" t="s">
        <v>363</v>
      </c>
      <c r="B402" s="11" t="s">
        <v>233</v>
      </c>
      <c r="C402" s="11" t="s">
        <v>325</v>
      </c>
      <c r="D402" s="11" t="s">
        <v>2612</v>
      </c>
      <c r="E402" s="11">
        <v>1</v>
      </c>
    </row>
    <row r="403" spans="1:5" ht="24.75">
      <c r="A403" s="11" t="s">
        <v>363</v>
      </c>
      <c r="B403" s="11" t="s">
        <v>233</v>
      </c>
      <c r="C403" s="11" t="s">
        <v>325</v>
      </c>
      <c r="D403" s="11" t="s">
        <v>2613</v>
      </c>
      <c r="E403" s="11">
        <v>1</v>
      </c>
    </row>
    <row r="404" spans="1:5" ht="24.75">
      <c r="A404" s="11" t="s">
        <v>363</v>
      </c>
      <c r="B404" s="11" t="s">
        <v>233</v>
      </c>
      <c r="C404" s="11" t="s">
        <v>325</v>
      </c>
      <c r="D404" s="11" t="s">
        <v>2613</v>
      </c>
      <c r="E404" s="11">
        <v>1</v>
      </c>
    </row>
    <row r="405" spans="1:5" ht="24.75">
      <c r="A405" s="11" t="s">
        <v>363</v>
      </c>
      <c r="B405" s="11" t="s">
        <v>233</v>
      </c>
      <c r="C405" s="11" t="s">
        <v>325</v>
      </c>
      <c r="D405" s="11" t="s">
        <v>2614</v>
      </c>
      <c r="E405" s="11">
        <v>1</v>
      </c>
    </row>
    <row r="406" spans="1:5" ht="24.75">
      <c r="A406" s="11" t="s">
        <v>363</v>
      </c>
      <c r="B406" s="11" t="s">
        <v>233</v>
      </c>
      <c r="C406" s="11" t="s">
        <v>325</v>
      </c>
      <c r="D406" s="11" t="s">
        <v>2614</v>
      </c>
      <c r="E406" s="11">
        <v>1</v>
      </c>
    </row>
    <row r="407" spans="1:5" ht="24.75">
      <c r="A407" s="11" t="s">
        <v>363</v>
      </c>
      <c r="B407" s="11" t="s">
        <v>233</v>
      </c>
      <c r="C407" s="11" t="s">
        <v>325</v>
      </c>
      <c r="D407" s="11" t="s">
        <v>2615</v>
      </c>
      <c r="E407" s="11">
        <v>1</v>
      </c>
    </row>
    <row r="408" spans="1:5" ht="24.75">
      <c r="A408" s="11" t="s">
        <v>363</v>
      </c>
      <c r="B408" s="11" t="s">
        <v>233</v>
      </c>
      <c r="C408" s="11" t="s">
        <v>325</v>
      </c>
      <c r="D408" s="11" t="s">
        <v>2615</v>
      </c>
      <c r="E408" s="11">
        <v>1</v>
      </c>
    </row>
    <row r="409" spans="1:5" ht="24.75">
      <c r="A409" s="11" t="s">
        <v>363</v>
      </c>
      <c r="B409" s="11" t="s">
        <v>233</v>
      </c>
      <c r="C409" s="11" t="s">
        <v>325</v>
      </c>
      <c r="D409" s="11" t="s">
        <v>2616</v>
      </c>
      <c r="E409" s="11">
        <v>1</v>
      </c>
    </row>
    <row r="410" spans="1:5" ht="24.75">
      <c r="A410" s="11" t="s">
        <v>363</v>
      </c>
      <c r="B410" s="11" t="s">
        <v>233</v>
      </c>
      <c r="C410" s="11" t="s">
        <v>325</v>
      </c>
      <c r="D410" s="11" t="s">
        <v>2616</v>
      </c>
      <c r="E410" s="11">
        <v>1</v>
      </c>
    </row>
    <row r="411" spans="1:5" ht="24.75">
      <c r="A411" s="11" t="s">
        <v>363</v>
      </c>
      <c r="B411" s="11" t="s">
        <v>233</v>
      </c>
      <c r="C411" s="11" t="s">
        <v>325</v>
      </c>
      <c r="D411" s="11" t="s">
        <v>2617</v>
      </c>
      <c r="E411" s="11">
        <v>1</v>
      </c>
    </row>
    <row r="412" spans="1:5" ht="24.75">
      <c r="A412" s="11" t="s">
        <v>363</v>
      </c>
      <c r="B412" s="11" t="s">
        <v>233</v>
      </c>
      <c r="C412" s="11" t="s">
        <v>325</v>
      </c>
      <c r="D412" s="11" t="s">
        <v>2617</v>
      </c>
      <c r="E412" s="11">
        <v>1</v>
      </c>
    </row>
    <row r="413" spans="1:5" ht="24.75">
      <c r="A413" s="11" t="s">
        <v>363</v>
      </c>
      <c r="B413" s="11" t="s">
        <v>233</v>
      </c>
      <c r="C413" s="11" t="s">
        <v>325</v>
      </c>
      <c r="D413" s="11" t="s">
        <v>2618</v>
      </c>
      <c r="E413" s="11">
        <v>1</v>
      </c>
    </row>
    <row r="414" spans="1:5" ht="24.75">
      <c r="A414" s="11" t="s">
        <v>363</v>
      </c>
      <c r="B414" s="11" t="s">
        <v>233</v>
      </c>
      <c r="C414" s="11" t="s">
        <v>325</v>
      </c>
      <c r="D414" s="11" t="s">
        <v>2618</v>
      </c>
      <c r="E414" s="11">
        <v>1</v>
      </c>
    </row>
    <row r="415" spans="1:5" ht="24.75">
      <c r="A415" s="11" t="s">
        <v>363</v>
      </c>
      <c r="B415" s="11" t="s">
        <v>233</v>
      </c>
      <c r="C415" s="11" t="s">
        <v>325</v>
      </c>
      <c r="D415" s="11" t="s">
        <v>2619</v>
      </c>
      <c r="E415" s="11">
        <v>1</v>
      </c>
    </row>
    <row r="416" spans="1:5" ht="24.75">
      <c r="A416" s="11" t="s">
        <v>363</v>
      </c>
      <c r="B416" s="11" t="s">
        <v>233</v>
      </c>
      <c r="C416" s="11" t="s">
        <v>325</v>
      </c>
      <c r="D416" s="11" t="s">
        <v>2619</v>
      </c>
      <c r="E416" s="11">
        <v>1</v>
      </c>
    </row>
    <row r="417" spans="1:5" ht="24.75">
      <c r="A417" s="11" t="s">
        <v>363</v>
      </c>
      <c r="B417" s="11" t="s">
        <v>233</v>
      </c>
      <c r="C417" s="11" t="s">
        <v>325</v>
      </c>
      <c r="D417" s="11" t="s">
        <v>2620</v>
      </c>
      <c r="E417" s="11">
        <v>1</v>
      </c>
    </row>
    <row r="418" spans="1:5" ht="24.75">
      <c r="A418" s="11" t="s">
        <v>363</v>
      </c>
      <c r="B418" s="11" t="s">
        <v>233</v>
      </c>
      <c r="C418" s="11" t="s">
        <v>325</v>
      </c>
      <c r="D418" s="11" t="s">
        <v>2620</v>
      </c>
      <c r="E418" s="11">
        <v>1</v>
      </c>
    </row>
    <row r="419" spans="1:5" ht="24.75">
      <c r="A419" s="11" t="s">
        <v>363</v>
      </c>
      <c r="B419" s="11" t="s">
        <v>233</v>
      </c>
      <c r="C419" s="11" t="s">
        <v>325</v>
      </c>
      <c r="D419" s="11" t="s">
        <v>2621</v>
      </c>
      <c r="E419" s="11">
        <v>1</v>
      </c>
    </row>
    <row r="420" spans="1:5" ht="24.75">
      <c r="A420" s="11" t="s">
        <v>363</v>
      </c>
      <c r="B420" s="11" t="s">
        <v>233</v>
      </c>
      <c r="C420" s="11" t="s">
        <v>325</v>
      </c>
      <c r="D420" s="11" t="s">
        <v>2621</v>
      </c>
      <c r="E420" s="11">
        <v>1</v>
      </c>
    </row>
    <row r="421" spans="1:5" ht="24.75">
      <c r="A421" s="11" t="s">
        <v>363</v>
      </c>
      <c r="B421" s="11" t="s">
        <v>233</v>
      </c>
      <c r="C421" s="11" t="s">
        <v>325</v>
      </c>
      <c r="D421" s="11" t="s">
        <v>2622</v>
      </c>
      <c r="E421" s="11">
        <v>1</v>
      </c>
    </row>
    <row r="422" spans="1:5" ht="24.75">
      <c r="A422" s="11" t="s">
        <v>363</v>
      </c>
      <c r="B422" s="11" t="s">
        <v>233</v>
      </c>
      <c r="C422" s="11" t="s">
        <v>325</v>
      </c>
      <c r="D422" s="11" t="s">
        <v>2622</v>
      </c>
      <c r="E422" s="11">
        <v>1</v>
      </c>
    </row>
    <row r="423" spans="1:5" ht="24.75">
      <c r="A423" s="11" t="s">
        <v>363</v>
      </c>
      <c r="B423" s="11" t="s">
        <v>233</v>
      </c>
      <c r="C423" s="11" t="s">
        <v>325</v>
      </c>
      <c r="D423" s="11" t="s">
        <v>2623</v>
      </c>
      <c r="E423" s="11">
        <v>1</v>
      </c>
    </row>
    <row r="424" spans="1:5" ht="24.75">
      <c r="A424" s="11" t="s">
        <v>363</v>
      </c>
      <c r="B424" s="11" t="s">
        <v>233</v>
      </c>
      <c r="C424" s="11" t="s">
        <v>325</v>
      </c>
      <c r="D424" s="11" t="s">
        <v>2623</v>
      </c>
      <c r="E424" s="11">
        <v>1</v>
      </c>
    </row>
    <row r="425" spans="1:5" ht="24.75">
      <c r="A425" s="11" t="s">
        <v>363</v>
      </c>
      <c r="B425" s="11" t="s">
        <v>233</v>
      </c>
      <c r="C425" s="11" t="s">
        <v>325</v>
      </c>
      <c r="D425" s="11" t="s">
        <v>2624</v>
      </c>
      <c r="E425" s="11">
        <v>1</v>
      </c>
    </row>
    <row r="426" spans="1:5" ht="24.75">
      <c r="A426" s="11" t="s">
        <v>363</v>
      </c>
      <c r="B426" s="11" t="s">
        <v>233</v>
      </c>
      <c r="C426" s="11" t="s">
        <v>325</v>
      </c>
      <c r="D426" s="11" t="s">
        <v>2624</v>
      </c>
      <c r="E426" s="11">
        <v>1</v>
      </c>
    </row>
    <row r="427" spans="1:5" ht="24.75">
      <c r="A427" s="11" t="s">
        <v>363</v>
      </c>
      <c r="B427" s="11" t="s">
        <v>233</v>
      </c>
      <c r="C427" s="11" t="s">
        <v>325</v>
      </c>
      <c r="D427" s="11" t="s">
        <v>2625</v>
      </c>
      <c r="E427" s="11">
        <v>1</v>
      </c>
    </row>
    <row r="428" spans="1:5" ht="24.75">
      <c r="A428" s="11" t="s">
        <v>363</v>
      </c>
      <c r="B428" s="11" t="s">
        <v>233</v>
      </c>
      <c r="C428" s="11" t="s">
        <v>325</v>
      </c>
      <c r="D428" s="11" t="s">
        <v>2625</v>
      </c>
      <c r="E428" s="11">
        <v>1</v>
      </c>
    </row>
    <row r="429" spans="1:5" ht="24.75">
      <c r="A429" s="11" t="s">
        <v>363</v>
      </c>
      <c r="B429" s="11" t="s">
        <v>233</v>
      </c>
      <c r="C429" s="11" t="s">
        <v>325</v>
      </c>
      <c r="D429" s="11" t="s">
        <v>2626</v>
      </c>
      <c r="E429" s="11">
        <v>1</v>
      </c>
    </row>
    <row r="430" spans="1:5" ht="24.75">
      <c r="A430" s="11" t="s">
        <v>363</v>
      </c>
      <c r="B430" s="11" t="s">
        <v>233</v>
      </c>
      <c r="C430" s="11" t="s">
        <v>325</v>
      </c>
      <c r="D430" s="11" t="s">
        <v>2626</v>
      </c>
      <c r="E430" s="11">
        <v>1</v>
      </c>
    </row>
    <row r="431" spans="1:5" ht="24.75">
      <c r="A431" s="11" t="s">
        <v>363</v>
      </c>
      <c r="B431" s="11" t="s">
        <v>233</v>
      </c>
      <c r="C431" s="11" t="s">
        <v>325</v>
      </c>
      <c r="D431" s="11" t="s">
        <v>2627</v>
      </c>
      <c r="E431" s="11">
        <v>1</v>
      </c>
    </row>
    <row r="432" spans="1:5" ht="24.75">
      <c r="A432" s="11" t="s">
        <v>363</v>
      </c>
      <c r="B432" s="11" t="s">
        <v>233</v>
      </c>
      <c r="C432" s="11" t="s">
        <v>325</v>
      </c>
      <c r="D432" s="11" t="s">
        <v>2627</v>
      </c>
      <c r="E432" s="11">
        <v>1</v>
      </c>
    </row>
    <row r="433" spans="1:5" ht="24.75">
      <c r="A433" s="11" t="s">
        <v>363</v>
      </c>
      <c r="B433" s="11" t="s">
        <v>233</v>
      </c>
      <c r="C433" s="11" t="s">
        <v>325</v>
      </c>
      <c r="D433" s="11" t="s">
        <v>2628</v>
      </c>
      <c r="E433" s="11">
        <v>1</v>
      </c>
    </row>
    <row r="434" spans="1:5" ht="24.75">
      <c r="A434" s="11" t="s">
        <v>363</v>
      </c>
      <c r="B434" s="11" t="s">
        <v>233</v>
      </c>
      <c r="C434" s="11" t="s">
        <v>325</v>
      </c>
      <c r="D434" s="11" t="s">
        <v>2628</v>
      </c>
      <c r="E434" s="11">
        <v>1</v>
      </c>
    </row>
    <row r="435" spans="1:5" ht="24.75">
      <c r="A435" s="11" t="s">
        <v>363</v>
      </c>
      <c r="B435" s="11" t="s">
        <v>233</v>
      </c>
      <c r="C435" s="11" t="s">
        <v>325</v>
      </c>
      <c r="D435" s="11" t="s">
        <v>2629</v>
      </c>
      <c r="E435" s="11">
        <v>1</v>
      </c>
    </row>
    <row r="436" spans="1:5" ht="24.75">
      <c r="A436" s="11" t="s">
        <v>363</v>
      </c>
      <c r="B436" s="11" t="s">
        <v>233</v>
      </c>
      <c r="C436" s="11" t="s">
        <v>325</v>
      </c>
      <c r="D436" s="11" t="s">
        <v>2629</v>
      </c>
      <c r="E436" s="11">
        <v>1</v>
      </c>
    </row>
    <row r="437" spans="1:5" ht="24.75">
      <c r="A437" s="11" t="s">
        <v>363</v>
      </c>
      <c r="B437" s="11" t="s">
        <v>233</v>
      </c>
      <c r="C437" s="11" t="s">
        <v>325</v>
      </c>
      <c r="D437" s="11" t="s">
        <v>2630</v>
      </c>
      <c r="E437" s="11">
        <v>1</v>
      </c>
    </row>
    <row r="438" spans="1:5" ht="24.75">
      <c r="A438" s="11" t="s">
        <v>363</v>
      </c>
      <c r="B438" s="11" t="s">
        <v>233</v>
      </c>
      <c r="C438" s="11" t="s">
        <v>325</v>
      </c>
      <c r="D438" s="11" t="s">
        <v>2630</v>
      </c>
      <c r="E438" s="11">
        <v>1</v>
      </c>
    </row>
    <row r="439" spans="1:5" ht="24.75">
      <c r="A439" s="11" t="s">
        <v>363</v>
      </c>
      <c r="B439" s="11" t="s">
        <v>233</v>
      </c>
      <c r="C439" s="11" t="s">
        <v>325</v>
      </c>
      <c r="D439" s="11" t="s">
        <v>2631</v>
      </c>
      <c r="E439" s="11">
        <v>1</v>
      </c>
    </row>
    <row r="440" spans="1:5" ht="24.75">
      <c r="A440" s="11" t="s">
        <v>363</v>
      </c>
      <c r="B440" s="11" t="s">
        <v>233</v>
      </c>
      <c r="C440" s="11" t="s">
        <v>325</v>
      </c>
      <c r="D440" s="11" t="s">
        <v>2631</v>
      </c>
      <c r="E440" s="11">
        <v>1</v>
      </c>
    </row>
    <row r="441" spans="1:5" ht="24.75">
      <c r="A441" s="11" t="s">
        <v>363</v>
      </c>
      <c r="B441" s="11" t="s">
        <v>233</v>
      </c>
      <c r="C441" s="11" t="s">
        <v>325</v>
      </c>
      <c r="D441" s="11" t="s">
        <v>2632</v>
      </c>
      <c r="E441" s="11">
        <v>1</v>
      </c>
    </row>
    <row r="442" spans="1:5" ht="24.75">
      <c r="A442" s="11" t="s">
        <v>363</v>
      </c>
      <c r="B442" s="11" t="s">
        <v>233</v>
      </c>
      <c r="C442" s="11" t="s">
        <v>325</v>
      </c>
      <c r="D442" s="11" t="s">
        <v>2632</v>
      </c>
      <c r="E442" s="11">
        <v>1</v>
      </c>
    </row>
    <row r="443" spans="1:5" ht="24.75">
      <c r="A443" s="11" t="s">
        <v>363</v>
      </c>
      <c r="B443" s="11" t="s">
        <v>233</v>
      </c>
      <c r="C443" s="11" t="s">
        <v>325</v>
      </c>
      <c r="D443" s="11" t="s">
        <v>2633</v>
      </c>
      <c r="E443" s="11">
        <v>1</v>
      </c>
    </row>
    <row r="444" spans="1:5" ht="24.75">
      <c r="A444" s="11" t="s">
        <v>363</v>
      </c>
      <c r="B444" s="11" t="s">
        <v>233</v>
      </c>
      <c r="C444" s="11" t="s">
        <v>325</v>
      </c>
      <c r="D444" s="11" t="s">
        <v>2633</v>
      </c>
      <c r="E444" s="11">
        <v>1</v>
      </c>
    </row>
    <row r="445" spans="1:5" ht="24.75">
      <c r="A445" s="11" t="s">
        <v>363</v>
      </c>
      <c r="B445" s="11" t="s">
        <v>233</v>
      </c>
      <c r="C445" s="11" t="s">
        <v>325</v>
      </c>
      <c r="D445" s="11" t="s">
        <v>2634</v>
      </c>
      <c r="E445" s="11">
        <v>1</v>
      </c>
    </row>
    <row r="446" spans="1:5" ht="24.75">
      <c r="A446" s="11" t="s">
        <v>363</v>
      </c>
      <c r="B446" s="11" t="s">
        <v>233</v>
      </c>
      <c r="C446" s="11" t="s">
        <v>325</v>
      </c>
      <c r="D446" s="11" t="s">
        <v>2634</v>
      </c>
      <c r="E446" s="11">
        <v>1</v>
      </c>
    </row>
    <row r="447" spans="1:5" ht="24.75">
      <c r="A447" s="11" t="s">
        <v>363</v>
      </c>
      <c r="B447" s="11" t="s">
        <v>233</v>
      </c>
      <c r="C447" s="11" t="s">
        <v>325</v>
      </c>
      <c r="D447" s="11" t="s">
        <v>2635</v>
      </c>
      <c r="E447" s="11">
        <v>1</v>
      </c>
    </row>
    <row r="448" spans="1:5" ht="24.75">
      <c r="A448" s="11" t="s">
        <v>363</v>
      </c>
      <c r="B448" s="11" t="s">
        <v>233</v>
      </c>
      <c r="C448" s="11" t="s">
        <v>325</v>
      </c>
      <c r="D448" s="11" t="s">
        <v>2635</v>
      </c>
      <c r="E448" s="11">
        <v>1</v>
      </c>
    </row>
    <row r="449" spans="1:5" ht="24.75">
      <c r="A449" s="11" t="s">
        <v>363</v>
      </c>
      <c r="B449" s="11" t="s">
        <v>233</v>
      </c>
      <c r="C449" s="11" t="s">
        <v>325</v>
      </c>
      <c r="D449" s="11" t="s">
        <v>2636</v>
      </c>
      <c r="E449" s="11">
        <v>1</v>
      </c>
    </row>
    <row r="450" spans="1:5" ht="24.75">
      <c r="A450" s="11" t="s">
        <v>363</v>
      </c>
      <c r="B450" s="11" t="s">
        <v>233</v>
      </c>
      <c r="C450" s="11" t="s">
        <v>325</v>
      </c>
      <c r="D450" s="11" t="s">
        <v>2636</v>
      </c>
      <c r="E450" s="11">
        <v>1</v>
      </c>
    </row>
    <row r="451" spans="1:5" ht="24.75">
      <c r="A451" s="11" t="s">
        <v>363</v>
      </c>
      <c r="B451" s="11" t="s">
        <v>233</v>
      </c>
      <c r="C451" s="11" t="s">
        <v>325</v>
      </c>
      <c r="D451" s="11" t="s">
        <v>2637</v>
      </c>
      <c r="E451" s="11">
        <v>1</v>
      </c>
    </row>
    <row r="452" spans="1:5" ht="24.75">
      <c r="A452" s="11" t="s">
        <v>363</v>
      </c>
      <c r="B452" s="11" t="s">
        <v>233</v>
      </c>
      <c r="C452" s="11" t="s">
        <v>325</v>
      </c>
      <c r="D452" s="11" t="s">
        <v>2637</v>
      </c>
      <c r="E452" s="11">
        <v>1</v>
      </c>
    </row>
    <row r="453" spans="1:5" ht="24.75">
      <c r="A453" s="11" t="s">
        <v>363</v>
      </c>
      <c r="B453" s="11" t="s">
        <v>233</v>
      </c>
      <c r="C453" s="11" t="s">
        <v>325</v>
      </c>
      <c r="D453" s="11" t="s">
        <v>2638</v>
      </c>
      <c r="E453" s="11">
        <v>1</v>
      </c>
    </row>
    <row r="454" spans="1:5" ht="24.75">
      <c r="A454" s="11" t="s">
        <v>363</v>
      </c>
      <c r="B454" s="11" t="s">
        <v>233</v>
      </c>
      <c r="C454" s="11" t="s">
        <v>325</v>
      </c>
      <c r="D454" s="11" t="s">
        <v>2638</v>
      </c>
      <c r="E454" s="11">
        <v>1</v>
      </c>
    </row>
    <row r="455" spans="1:5" ht="24.75">
      <c r="A455" s="11" t="s">
        <v>363</v>
      </c>
      <c r="B455" s="11" t="s">
        <v>233</v>
      </c>
      <c r="C455" s="11" t="s">
        <v>325</v>
      </c>
      <c r="D455" s="11" t="s">
        <v>2639</v>
      </c>
      <c r="E455" s="11">
        <v>1</v>
      </c>
    </row>
    <row r="456" spans="1:5" ht="24.75">
      <c r="A456" s="11" t="s">
        <v>363</v>
      </c>
      <c r="B456" s="11" t="s">
        <v>233</v>
      </c>
      <c r="C456" s="11" t="s">
        <v>325</v>
      </c>
      <c r="D456" s="11" t="s">
        <v>2639</v>
      </c>
      <c r="E456" s="11">
        <v>1</v>
      </c>
    </row>
    <row r="457" spans="1:5" ht="24.75">
      <c r="A457" s="11" t="s">
        <v>363</v>
      </c>
      <c r="B457" s="11" t="s">
        <v>233</v>
      </c>
      <c r="C457" s="11" t="s">
        <v>325</v>
      </c>
      <c r="D457" s="11" t="s">
        <v>2640</v>
      </c>
      <c r="E457" s="11">
        <v>1</v>
      </c>
    </row>
    <row r="458" spans="1:5" ht="24.75">
      <c r="A458" s="11" t="s">
        <v>363</v>
      </c>
      <c r="B458" s="11" t="s">
        <v>233</v>
      </c>
      <c r="C458" s="11" t="s">
        <v>325</v>
      </c>
      <c r="D458" s="11" t="s">
        <v>2640</v>
      </c>
      <c r="E458" s="11">
        <v>1</v>
      </c>
    </row>
    <row r="459" spans="1:5" ht="24.75">
      <c r="A459" s="11" t="s">
        <v>363</v>
      </c>
      <c r="B459" s="11" t="s">
        <v>233</v>
      </c>
      <c r="C459" s="11" t="s">
        <v>325</v>
      </c>
      <c r="D459" s="11" t="s">
        <v>2641</v>
      </c>
      <c r="E459" s="11">
        <v>1</v>
      </c>
    </row>
    <row r="460" spans="1:5" ht="24.75">
      <c r="A460" s="11" t="s">
        <v>363</v>
      </c>
      <c r="B460" s="11" t="s">
        <v>233</v>
      </c>
      <c r="C460" s="11" t="s">
        <v>325</v>
      </c>
      <c r="D460" s="11" t="s">
        <v>2641</v>
      </c>
      <c r="E460" s="11">
        <v>1</v>
      </c>
    </row>
    <row r="461" spans="1:5" ht="24.75">
      <c r="A461" s="11" t="s">
        <v>363</v>
      </c>
      <c r="B461" s="11" t="s">
        <v>233</v>
      </c>
      <c r="C461" s="11" t="s">
        <v>325</v>
      </c>
      <c r="D461" s="11" t="s">
        <v>2642</v>
      </c>
      <c r="E461" s="11">
        <v>1</v>
      </c>
    </row>
    <row r="462" spans="1:5" ht="24.75">
      <c r="A462" s="11" t="s">
        <v>363</v>
      </c>
      <c r="B462" s="11" t="s">
        <v>233</v>
      </c>
      <c r="C462" s="11" t="s">
        <v>325</v>
      </c>
      <c r="D462" s="11" t="s">
        <v>2642</v>
      </c>
      <c r="E462" s="11">
        <v>1</v>
      </c>
    </row>
    <row r="463" spans="1:5" ht="24.75">
      <c r="A463" s="11" t="s">
        <v>363</v>
      </c>
      <c r="B463" s="11" t="s">
        <v>233</v>
      </c>
      <c r="C463" s="11" t="s">
        <v>325</v>
      </c>
      <c r="D463" s="11" t="s">
        <v>2643</v>
      </c>
      <c r="E463" s="11">
        <v>1</v>
      </c>
    </row>
    <row r="464" spans="1:5" ht="24.75">
      <c r="A464" s="11" t="s">
        <v>363</v>
      </c>
      <c r="B464" s="11" t="s">
        <v>233</v>
      </c>
      <c r="C464" s="11" t="s">
        <v>325</v>
      </c>
      <c r="D464" s="11" t="s">
        <v>2643</v>
      </c>
      <c r="E464" s="11">
        <v>1</v>
      </c>
    </row>
    <row r="465" spans="1:5" ht="24.75">
      <c r="A465" s="11" t="s">
        <v>363</v>
      </c>
      <c r="B465" s="11" t="s">
        <v>233</v>
      </c>
      <c r="C465" s="11" t="s">
        <v>325</v>
      </c>
      <c r="D465" s="11" t="s">
        <v>2644</v>
      </c>
      <c r="E465" s="11">
        <v>1</v>
      </c>
    </row>
    <row r="466" spans="1:5" ht="24.75">
      <c r="A466" s="11" t="s">
        <v>363</v>
      </c>
      <c r="B466" s="11" t="s">
        <v>233</v>
      </c>
      <c r="C466" s="11" t="s">
        <v>325</v>
      </c>
      <c r="D466" s="11" t="s">
        <v>2644</v>
      </c>
      <c r="E466" s="11">
        <v>1</v>
      </c>
    </row>
    <row r="467" spans="1:5" ht="24.75">
      <c r="A467" s="11" t="s">
        <v>363</v>
      </c>
      <c r="B467" s="11" t="s">
        <v>233</v>
      </c>
      <c r="C467" s="11" t="s">
        <v>325</v>
      </c>
      <c r="D467" s="11" t="s">
        <v>2645</v>
      </c>
      <c r="E467" s="11">
        <v>1</v>
      </c>
    </row>
    <row r="468" spans="1:5" ht="24.75">
      <c r="A468" s="11" t="s">
        <v>363</v>
      </c>
      <c r="B468" s="11" t="s">
        <v>233</v>
      </c>
      <c r="C468" s="11" t="s">
        <v>325</v>
      </c>
      <c r="D468" s="11" t="s">
        <v>2645</v>
      </c>
      <c r="E468" s="11">
        <v>1</v>
      </c>
    </row>
    <row r="469" spans="1:5" ht="24.75">
      <c r="A469" s="11" t="s">
        <v>363</v>
      </c>
      <c r="B469" s="11" t="s">
        <v>233</v>
      </c>
      <c r="C469" s="11" t="s">
        <v>325</v>
      </c>
      <c r="D469" s="11" t="s">
        <v>2646</v>
      </c>
      <c r="E469" s="11">
        <v>1</v>
      </c>
    </row>
    <row r="470" spans="1:5" ht="24.75">
      <c r="A470" s="11" t="s">
        <v>363</v>
      </c>
      <c r="B470" s="11" t="s">
        <v>233</v>
      </c>
      <c r="C470" s="11" t="s">
        <v>325</v>
      </c>
      <c r="D470" s="11" t="s">
        <v>2646</v>
      </c>
      <c r="E470" s="11">
        <v>1</v>
      </c>
    </row>
    <row r="471" spans="1:5" ht="24.75">
      <c r="A471" s="11" t="s">
        <v>363</v>
      </c>
      <c r="B471" s="11" t="s">
        <v>233</v>
      </c>
      <c r="C471" s="11" t="s">
        <v>325</v>
      </c>
      <c r="D471" s="11" t="s">
        <v>2647</v>
      </c>
      <c r="E471" s="11">
        <v>1</v>
      </c>
    </row>
    <row r="472" spans="1:5" ht="24.75">
      <c r="A472" s="11" t="s">
        <v>363</v>
      </c>
      <c r="B472" s="11" t="s">
        <v>233</v>
      </c>
      <c r="C472" s="11" t="s">
        <v>325</v>
      </c>
      <c r="D472" s="11" t="s">
        <v>2647</v>
      </c>
      <c r="E472" s="11">
        <v>1</v>
      </c>
    </row>
    <row r="473" spans="1:5" ht="24.75">
      <c r="A473" s="11" t="s">
        <v>363</v>
      </c>
      <c r="B473" s="11" t="s">
        <v>233</v>
      </c>
      <c r="C473" s="11" t="s">
        <v>325</v>
      </c>
      <c r="D473" s="11" t="s">
        <v>2648</v>
      </c>
      <c r="E473" s="11">
        <v>1</v>
      </c>
    </row>
    <row r="474" spans="1:5" ht="24.75">
      <c r="A474" s="11" t="s">
        <v>363</v>
      </c>
      <c r="B474" s="11" t="s">
        <v>233</v>
      </c>
      <c r="C474" s="11" t="s">
        <v>325</v>
      </c>
      <c r="D474" s="11" t="s">
        <v>2648</v>
      </c>
      <c r="E474" s="11">
        <v>1</v>
      </c>
    </row>
    <row r="475" spans="1:5" ht="24.75">
      <c r="A475" s="11" t="s">
        <v>363</v>
      </c>
      <c r="B475" s="11" t="s">
        <v>233</v>
      </c>
      <c r="C475" s="11" t="s">
        <v>325</v>
      </c>
      <c r="D475" s="11" t="s">
        <v>2649</v>
      </c>
      <c r="E475" s="11">
        <v>1</v>
      </c>
    </row>
    <row r="476" spans="1:5" ht="24.75">
      <c r="A476" s="11" t="s">
        <v>363</v>
      </c>
      <c r="B476" s="11" t="s">
        <v>233</v>
      </c>
      <c r="C476" s="11" t="s">
        <v>325</v>
      </c>
      <c r="D476" s="11" t="s">
        <v>2649</v>
      </c>
      <c r="E476" s="11">
        <v>1</v>
      </c>
    </row>
    <row r="477" spans="1:5" ht="24.75">
      <c r="A477" s="11" t="s">
        <v>363</v>
      </c>
      <c r="B477" s="11" t="s">
        <v>233</v>
      </c>
      <c r="C477" s="11" t="s">
        <v>325</v>
      </c>
      <c r="D477" s="11" t="s">
        <v>2650</v>
      </c>
      <c r="E477" s="11">
        <v>1</v>
      </c>
    </row>
    <row r="478" spans="1:5" ht="24.75">
      <c r="A478" s="11" t="s">
        <v>363</v>
      </c>
      <c r="B478" s="11" t="s">
        <v>233</v>
      </c>
      <c r="C478" s="11" t="s">
        <v>325</v>
      </c>
      <c r="D478" s="11" t="s">
        <v>2650</v>
      </c>
      <c r="E478" s="11">
        <v>1</v>
      </c>
    </row>
    <row r="479" spans="1:5" ht="24.75">
      <c r="A479" s="11" t="s">
        <v>363</v>
      </c>
      <c r="B479" s="11" t="s">
        <v>233</v>
      </c>
      <c r="C479" s="11" t="s">
        <v>325</v>
      </c>
      <c r="D479" s="11" t="s">
        <v>2651</v>
      </c>
      <c r="E479" s="11">
        <v>1</v>
      </c>
    </row>
    <row r="480" spans="1:5" ht="24.75">
      <c r="A480" s="11" t="s">
        <v>363</v>
      </c>
      <c r="B480" s="11" t="s">
        <v>233</v>
      </c>
      <c r="C480" s="11" t="s">
        <v>325</v>
      </c>
      <c r="D480" s="11" t="s">
        <v>2651</v>
      </c>
      <c r="E480" s="11">
        <v>1</v>
      </c>
    </row>
    <row r="481" spans="1:5" ht="24.75">
      <c r="A481" s="11" t="s">
        <v>363</v>
      </c>
      <c r="B481" s="11" t="s">
        <v>233</v>
      </c>
      <c r="C481" s="11" t="s">
        <v>325</v>
      </c>
      <c r="D481" s="11" t="s">
        <v>2652</v>
      </c>
      <c r="E481" s="11">
        <v>1</v>
      </c>
    </row>
    <row r="482" spans="1:5" ht="24.75">
      <c r="A482" s="11" t="s">
        <v>363</v>
      </c>
      <c r="B482" s="11" t="s">
        <v>233</v>
      </c>
      <c r="C482" s="11" t="s">
        <v>325</v>
      </c>
      <c r="D482" s="11" t="s">
        <v>2652</v>
      </c>
      <c r="E482" s="11">
        <v>1</v>
      </c>
    </row>
    <row r="483" spans="1:5" ht="24.75">
      <c r="A483" s="11" t="s">
        <v>363</v>
      </c>
      <c r="B483" s="11" t="s">
        <v>233</v>
      </c>
      <c r="C483" s="11" t="s">
        <v>325</v>
      </c>
      <c r="D483" s="11" t="s">
        <v>2653</v>
      </c>
      <c r="E483" s="11">
        <v>1</v>
      </c>
    </row>
    <row r="484" spans="1:5" ht="24.75">
      <c r="A484" s="11" t="s">
        <v>363</v>
      </c>
      <c r="B484" s="11" t="s">
        <v>233</v>
      </c>
      <c r="C484" s="11" t="s">
        <v>325</v>
      </c>
      <c r="D484" s="11" t="s">
        <v>2653</v>
      </c>
      <c r="E484" s="11">
        <v>1</v>
      </c>
    </row>
    <row r="485" spans="1:5" ht="24.75">
      <c r="A485" s="11" t="s">
        <v>363</v>
      </c>
      <c r="B485" s="11" t="s">
        <v>233</v>
      </c>
      <c r="C485" s="11" t="s">
        <v>325</v>
      </c>
      <c r="D485" s="11" t="s">
        <v>2654</v>
      </c>
      <c r="E485" s="11">
        <v>1</v>
      </c>
    </row>
    <row r="486" spans="1:5" ht="24.75">
      <c r="A486" s="11" t="s">
        <v>363</v>
      </c>
      <c r="B486" s="11" t="s">
        <v>233</v>
      </c>
      <c r="C486" s="11" t="s">
        <v>325</v>
      </c>
      <c r="D486" s="11" t="s">
        <v>2654</v>
      </c>
      <c r="E486" s="11">
        <v>1</v>
      </c>
    </row>
    <row r="487" spans="1:5" ht="24.75">
      <c r="A487" s="11" t="s">
        <v>363</v>
      </c>
      <c r="B487" s="11" t="s">
        <v>233</v>
      </c>
      <c r="C487" s="11" t="s">
        <v>325</v>
      </c>
      <c r="D487" s="11" t="s">
        <v>2655</v>
      </c>
      <c r="E487" s="11">
        <v>1</v>
      </c>
    </row>
    <row r="488" spans="1:5" ht="24.75">
      <c r="A488" s="11" t="s">
        <v>363</v>
      </c>
      <c r="B488" s="11" t="s">
        <v>233</v>
      </c>
      <c r="C488" s="11" t="s">
        <v>325</v>
      </c>
      <c r="D488" s="11" t="s">
        <v>2655</v>
      </c>
      <c r="E488" s="11">
        <v>1</v>
      </c>
    </row>
    <row r="489" spans="1:5" ht="24.75">
      <c r="A489" s="11" t="s">
        <v>363</v>
      </c>
      <c r="B489" s="11" t="s">
        <v>233</v>
      </c>
      <c r="C489" s="11" t="s">
        <v>325</v>
      </c>
      <c r="D489" s="11" t="s">
        <v>2656</v>
      </c>
      <c r="E489" s="11">
        <v>1</v>
      </c>
    </row>
    <row r="490" spans="1:5" ht="24.75">
      <c r="A490" s="11" t="s">
        <v>363</v>
      </c>
      <c r="B490" s="11" t="s">
        <v>233</v>
      </c>
      <c r="C490" s="11" t="s">
        <v>325</v>
      </c>
      <c r="D490" s="11" t="s">
        <v>2656</v>
      </c>
      <c r="E490" s="11">
        <v>1</v>
      </c>
    </row>
    <row r="491" spans="1:5" ht="24.75">
      <c r="A491" s="11" t="s">
        <v>363</v>
      </c>
      <c r="B491" s="11" t="s">
        <v>233</v>
      </c>
      <c r="C491" s="11" t="s">
        <v>325</v>
      </c>
      <c r="D491" s="11" t="s">
        <v>2657</v>
      </c>
      <c r="E491" s="11">
        <v>1</v>
      </c>
    </row>
    <row r="492" spans="1:5" ht="24.75">
      <c r="A492" s="11" t="s">
        <v>363</v>
      </c>
      <c r="B492" s="11" t="s">
        <v>233</v>
      </c>
      <c r="C492" s="11" t="s">
        <v>325</v>
      </c>
      <c r="D492" s="11" t="s">
        <v>2657</v>
      </c>
      <c r="E492" s="11">
        <v>1</v>
      </c>
    </row>
    <row r="493" spans="1:5">
      <c r="A493" s="1" t="s">
        <v>207</v>
      </c>
      <c r="B493" s="1" t="s">
        <v>207</v>
      </c>
      <c r="C493" s="1">
        <f>SUBTOTAL(103,Elements132341[Elemento])</f>
        <v>486</v>
      </c>
      <c r="D493" s="1" t="s">
        <v>207</v>
      </c>
      <c r="E493" s="1">
        <f>SUBTOTAL(109,Elements132341[Totais:])</f>
        <v>486</v>
      </c>
    </row>
  </sheetData>
  <mergeCells count="3">
    <mergeCell ref="A1:E2"/>
    <mergeCell ref="A4:E4"/>
    <mergeCell ref="A5:E5"/>
  </mergeCells>
  <hyperlinks>
    <hyperlink ref="A1" location="'13.2.34'!A1" display="ABRACADEIRA EM ACO PARA AMARRACAO DE ELETRODUTOS, TIPO D, COM 1 1/2&amp;quot; E CUNHA DE FIXACAO" xr:uid="{00000000-0004-0000-5500-000000000000}"/>
    <hyperlink ref="B1" location="'13.2.34'!A1" display="ABRACADEIRA EM ACO PARA AMARRACAO DE ELETRODUTOS, TIPO D, COM 1 1/2&amp;quot; E CUNHA DE FIXACAO" xr:uid="{00000000-0004-0000-5500-000001000000}"/>
    <hyperlink ref="C1" location="'13.2.34'!A1" display="ABRACADEIRA EM ACO PARA AMARRACAO DE ELETRODUTOS, TIPO D, COM 1 1/2&amp;quot; E CUNHA DE FIXACAO" xr:uid="{00000000-0004-0000-5500-000002000000}"/>
    <hyperlink ref="D1" location="'13.2.34'!A1" display="ABRACADEIRA EM ACO PARA AMARRACAO DE ELETRODUTOS, TIPO D, COM 1 1/2&amp;quot; E CUNHA DE FIXACAO" xr:uid="{00000000-0004-0000-5500-000003000000}"/>
    <hyperlink ref="E1" location="'13.2.34'!A1" display="ABRACADEIRA EM ACO PARA AMARRACAO DE ELETRODUTOS, TIPO D, COM 1 1/2&amp;quot; E CUNHA DE FIXACAO" xr:uid="{00000000-0004-0000-5500-000004000000}"/>
    <hyperlink ref="A2" location="'13.2.34'!A1" display="ABRACADEIRA EM ACO PARA AMARRACAO DE ELETRODUTOS, TIPO D, COM 1 1/2&amp;quot; E CUNHA DE FIXACAO" xr:uid="{00000000-0004-0000-5500-000005000000}"/>
    <hyperlink ref="B2" location="'13.2.34'!A1" display="ABRACADEIRA EM ACO PARA AMARRACAO DE ELETRODUTOS, TIPO D, COM 1 1/2&amp;quot; E CUNHA DE FIXACAO" xr:uid="{00000000-0004-0000-5500-000006000000}"/>
    <hyperlink ref="C2" location="'13.2.34'!A1" display="ABRACADEIRA EM ACO PARA AMARRACAO DE ELETRODUTOS, TIPO D, COM 1 1/2&amp;quot; E CUNHA DE FIXACAO" xr:uid="{00000000-0004-0000-5500-000007000000}"/>
    <hyperlink ref="D2" location="'13.2.34'!A1" display="ABRACADEIRA EM ACO PARA AMARRACAO DE ELETRODUTOS, TIPO D, COM 1 1/2&amp;quot; E CUNHA DE FIXACAO" xr:uid="{00000000-0004-0000-5500-000008000000}"/>
    <hyperlink ref="E2" location="'13.2.34'!A1" display="ABRACADEIRA EM ACO PARA AMARRACAO DE ELETRODUTOS, TIPO D, COM 1 1/2&amp;quot; E CUNHA DE FIXACAO" xr:uid="{00000000-0004-0000-5500-000009000000}"/>
    <hyperlink ref="A4" location="'13.2.34'!A1" display="Acessórios do tubo" xr:uid="{00000000-0004-0000-5500-00000A000000}"/>
    <hyperlink ref="B4" location="'13.2.34'!A1" display="Acessórios do tubo" xr:uid="{00000000-0004-0000-5500-00000B000000}"/>
    <hyperlink ref="C4" location="'13.2.34'!A1" display="Acessórios do tubo" xr:uid="{00000000-0004-0000-5500-00000C000000}"/>
    <hyperlink ref="D4" location="'13.2.34'!A1" display="Acessórios do tubo" xr:uid="{00000000-0004-0000-5500-00000D000000}"/>
    <hyperlink ref="E4" location="'13.2.34'!A1" display="Acessórios do tubo" xr:uid="{00000000-0004-0000-55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600-000000000000}">
  <dimension ref="A1:E12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146</v>
      </c>
      <c r="B1" s="23" t="s">
        <v>146</v>
      </c>
      <c r="C1" s="23" t="s">
        <v>146</v>
      </c>
      <c r="D1" s="23" t="s">
        <v>146</v>
      </c>
      <c r="E1" s="23" t="s">
        <v>146</v>
      </c>
    </row>
    <row r="2" spans="1:5">
      <c r="A2" s="23" t="s">
        <v>146</v>
      </c>
      <c r="B2" s="23" t="s">
        <v>146</v>
      </c>
      <c r="C2" s="23" t="s">
        <v>146</v>
      </c>
      <c r="D2" s="23" t="s">
        <v>146</v>
      </c>
      <c r="E2" s="23" t="s">
        <v>146</v>
      </c>
    </row>
    <row r="4" spans="1:5">
      <c r="A4" s="18" t="s">
        <v>206</v>
      </c>
      <c r="B4" s="18" t="s">
        <v>206</v>
      </c>
      <c r="C4" s="18" t="s">
        <v>206</v>
      </c>
      <c r="D4" s="18" t="s">
        <v>206</v>
      </c>
      <c r="E4" s="18" t="s">
        <v>206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2658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2659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2660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2661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2662</v>
      </c>
      <c r="E11" s="11">
        <v>1</v>
      </c>
    </row>
    <row r="12" spans="1:5">
      <c r="A12" s="1" t="s">
        <v>207</v>
      </c>
      <c r="B12" s="1" t="s">
        <v>207</v>
      </c>
      <c r="C12" s="1">
        <f>SUBTOTAL(103,Elements132351[Elemento])</f>
        <v>5</v>
      </c>
      <c r="D12" s="1" t="s">
        <v>207</v>
      </c>
      <c r="E12" s="1">
        <f>SUBTOTAL(109,Elements132351[Totais:])</f>
        <v>5</v>
      </c>
    </row>
  </sheetData>
  <mergeCells count="3">
    <mergeCell ref="A1:E2"/>
    <mergeCell ref="A4:E4"/>
    <mergeCell ref="A5:E5"/>
  </mergeCells>
  <hyperlinks>
    <hyperlink ref="A1" location="'13.2.35'!A1" display="CURVA 45º SOLDAVEL,COM DIAMETRO DE 60MM.FORNECIMENTO" xr:uid="{00000000-0004-0000-5600-000000000000}"/>
    <hyperlink ref="B1" location="'13.2.35'!A1" display="CURVA 45º SOLDAVEL,COM DIAMETRO DE 60MM.FORNECIMENTO" xr:uid="{00000000-0004-0000-5600-000001000000}"/>
    <hyperlink ref="C1" location="'13.2.35'!A1" display="CURVA 45º SOLDAVEL,COM DIAMETRO DE 60MM.FORNECIMENTO" xr:uid="{00000000-0004-0000-5600-000002000000}"/>
    <hyperlink ref="D1" location="'13.2.35'!A1" display="CURVA 45º SOLDAVEL,COM DIAMETRO DE 60MM.FORNECIMENTO" xr:uid="{00000000-0004-0000-5600-000003000000}"/>
    <hyperlink ref="E1" location="'13.2.35'!A1" display="CURVA 45º SOLDAVEL,COM DIAMETRO DE 60MM.FORNECIMENTO" xr:uid="{00000000-0004-0000-5600-000004000000}"/>
    <hyperlink ref="A2" location="'13.2.35'!A1" display="CURVA 45º SOLDAVEL,COM DIAMETRO DE 60MM.FORNECIMENTO" xr:uid="{00000000-0004-0000-5600-000005000000}"/>
    <hyperlink ref="B2" location="'13.2.35'!A1" display="CURVA 45º SOLDAVEL,COM DIAMETRO DE 60MM.FORNECIMENTO" xr:uid="{00000000-0004-0000-5600-000006000000}"/>
    <hyperlink ref="C2" location="'13.2.35'!A1" display="CURVA 45º SOLDAVEL,COM DIAMETRO DE 60MM.FORNECIMENTO" xr:uid="{00000000-0004-0000-5600-000007000000}"/>
    <hyperlink ref="D2" location="'13.2.35'!A1" display="CURVA 45º SOLDAVEL,COM DIAMETRO DE 60MM.FORNECIMENTO" xr:uid="{00000000-0004-0000-5600-000008000000}"/>
    <hyperlink ref="E2" location="'13.2.35'!A1" display="CURVA 45º SOLDAVEL,COM DIAMETRO DE 60MM.FORNECIMENTO" xr:uid="{00000000-0004-0000-5600-000009000000}"/>
    <hyperlink ref="A4" location="'13.2.35'!A1" display="Conexões de tubo (Afastamento)" xr:uid="{00000000-0004-0000-5600-00000A000000}"/>
    <hyperlink ref="B4" location="'13.2.35'!A1" display="Conexões de tubo (Afastamento)" xr:uid="{00000000-0004-0000-5600-00000B000000}"/>
    <hyperlink ref="C4" location="'13.2.35'!A1" display="Conexões de tubo (Afastamento)" xr:uid="{00000000-0004-0000-5600-00000C000000}"/>
    <hyperlink ref="D4" location="'13.2.35'!A1" display="Conexões de tubo (Afastamento)" xr:uid="{00000000-0004-0000-5600-00000D000000}"/>
    <hyperlink ref="E4" location="'13.2.35'!A1" display="Conexões de tubo (Afastamento)" xr:uid="{00000000-0004-0000-56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700-000000000000}">
  <dimension ref="A1:E252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150</v>
      </c>
      <c r="B1" s="23" t="s">
        <v>150</v>
      </c>
      <c r="C1" s="23" t="s">
        <v>150</v>
      </c>
      <c r="D1" s="23" t="s">
        <v>150</v>
      </c>
      <c r="E1" s="23" t="s">
        <v>150</v>
      </c>
    </row>
    <row r="2" spans="1:5">
      <c r="A2" s="23" t="s">
        <v>150</v>
      </c>
      <c r="B2" s="23" t="s">
        <v>150</v>
      </c>
      <c r="C2" s="23" t="s">
        <v>150</v>
      </c>
      <c r="D2" s="23" t="s">
        <v>150</v>
      </c>
      <c r="E2" s="23" t="s">
        <v>150</v>
      </c>
    </row>
    <row r="4" spans="1:5">
      <c r="A4" s="18" t="s">
        <v>269</v>
      </c>
      <c r="B4" s="18" t="s">
        <v>269</v>
      </c>
      <c r="C4" s="18" t="s">
        <v>269</v>
      </c>
      <c r="D4" s="18" t="s">
        <v>269</v>
      </c>
      <c r="E4" s="18" t="s">
        <v>269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2663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2664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2665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2666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2667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2668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214</v>
      </c>
      <c r="D13" s="11" t="s">
        <v>2669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214</v>
      </c>
      <c r="D14" s="11" t="s">
        <v>2670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214</v>
      </c>
      <c r="D15" s="11" t="s">
        <v>2671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214</v>
      </c>
      <c r="D16" s="11" t="s">
        <v>2672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214</v>
      </c>
      <c r="D17" s="11" t="s">
        <v>2673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214</v>
      </c>
      <c r="D18" s="11" t="s">
        <v>2674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214</v>
      </c>
      <c r="D19" s="11" t="s">
        <v>2675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214</v>
      </c>
      <c r="D20" s="11" t="s">
        <v>2676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214</v>
      </c>
      <c r="D21" s="11" t="s">
        <v>2677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214</v>
      </c>
      <c r="D22" s="11" t="s">
        <v>2678</v>
      </c>
      <c r="E22" s="11">
        <v>1</v>
      </c>
    </row>
    <row r="23" spans="1:5" ht="24.75">
      <c r="A23" s="11" t="s">
        <v>363</v>
      </c>
      <c r="B23" s="11" t="s">
        <v>233</v>
      </c>
      <c r="C23" s="11" t="s">
        <v>214</v>
      </c>
      <c r="D23" s="11" t="s">
        <v>2679</v>
      </c>
      <c r="E23" s="11">
        <v>1</v>
      </c>
    </row>
    <row r="24" spans="1:5" ht="24.75">
      <c r="A24" s="11" t="s">
        <v>363</v>
      </c>
      <c r="B24" s="11" t="s">
        <v>233</v>
      </c>
      <c r="C24" s="11" t="s">
        <v>214</v>
      </c>
      <c r="D24" s="11" t="s">
        <v>2680</v>
      </c>
      <c r="E24" s="11">
        <v>1</v>
      </c>
    </row>
    <row r="25" spans="1:5" ht="24.75">
      <c r="A25" s="11" t="s">
        <v>363</v>
      </c>
      <c r="B25" s="11" t="s">
        <v>233</v>
      </c>
      <c r="C25" s="11" t="s">
        <v>214</v>
      </c>
      <c r="D25" s="11" t="s">
        <v>2681</v>
      </c>
      <c r="E25" s="11">
        <v>1</v>
      </c>
    </row>
    <row r="26" spans="1:5" ht="24.75">
      <c r="A26" s="11" t="s">
        <v>363</v>
      </c>
      <c r="B26" s="11" t="s">
        <v>233</v>
      </c>
      <c r="C26" s="11" t="s">
        <v>214</v>
      </c>
      <c r="D26" s="11" t="s">
        <v>2682</v>
      </c>
      <c r="E26" s="11">
        <v>1</v>
      </c>
    </row>
    <row r="27" spans="1:5" ht="24.75">
      <c r="A27" s="11" t="s">
        <v>363</v>
      </c>
      <c r="B27" s="11" t="s">
        <v>233</v>
      </c>
      <c r="C27" s="11" t="s">
        <v>214</v>
      </c>
      <c r="D27" s="11" t="s">
        <v>2683</v>
      </c>
      <c r="E27" s="11">
        <v>1</v>
      </c>
    </row>
    <row r="28" spans="1:5" ht="24.75">
      <c r="A28" s="11" t="s">
        <v>363</v>
      </c>
      <c r="B28" s="11" t="s">
        <v>233</v>
      </c>
      <c r="C28" s="11" t="s">
        <v>214</v>
      </c>
      <c r="D28" s="11" t="s">
        <v>2684</v>
      </c>
      <c r="E28" s="11">
        <v>1</v>
      </c>
    </row>
    <row r="29" spans="1:5" ht="24.75">
      <c r="A29" s="11" t="s">
        <v>363</v>
      </c>
      <c r="B29" s="11" t="s">
        <v>233</v>
      </c>
      <c r="C29" s="11" t="s">
        <v>214</v>
      </c>
      <c r="D29" s="11" t="s">
        <v>2685</v>
      </c>
      <c r="E29" s="11">
        <v>1</v>
      </c>
    </row>
    <row r="30" spans="1:5" ht="24.75">
      <c r="A30" s="11" t="s">
        <v>363</v>
      </c>
      <c r="B30" s="11" t="s">
        <v>233</v>
      </c>
      <c r="C30" s="11" t="s">
        <v>214</v>
      </c>
      <c r="D30" s="11" t="s">
        <v>2686</v>
      </c>
      <c r="E30" s="11">
        <v>1</v>
      </c>
    </row>
    <row r="31" spans="1:5" ht="24.75">
      <c r="A31" s="11" t="s">
        <v>363</v>
      </c>
      <c r="B31" s="11" t="s">
        <v>233</v>
      </c>
      <c r="C31" s="11" t="s">
        <v>214</v>
      </c>
      <c r="D31" s="11" t="s">
        <v>2687</v>
      </c>
      <c r="E31" s="11">
        <v>1</v>
      </c>
    </row>
    <row r="32" spans="1:5" ht="24.75">
      <c r="A32" s="11" t="s">
        <v>363</v>
      </c>
      <c r="B32" s="11" t="s">
        <v>233</v>
      </c>
      <c r="C32" s="11" t="s">
        <v>214</v>
      </c>
      <c r="D32" s="11" t="s">
        <v>2688</v>
      </c>
      <c r="E32" s="11">
        <v>1</v>
      </c>
    </row>
    <row r="33" spans="1:5" ht="24.75">
      <c r="A33" s="11" t="s">
        <v>363</v>
      </c>
      <c r="B33" s="11" t="s">
        <v>233</v>
      </c>
      <c r="C33" s="11" t="s">
        <v>214</v>
      </c>
      <c r="D33" s="11" t="s">
        <v>2689</v>
      </c>
      <c r="E33" s="11">
        <v>1</v>
      </c>
    </row>
    <row r="34" spans="1:5" ht="24.75">
      <c r="A34" s="11" t="s">
        <v>363</v>
      </c>
      <c r="B34" s="11" t="s">
        <v>233</v>
      </c>
      <c r="C34" s="11" t="s">
        <v>214</v>
      </c>
      <c r="D34" s="11" t="s">
        <v>2690</v>
      </c>
      <c r="E34" s="11">
        <v>1</v>
      </c>
    </row>
    <row r="35" spans="1:5" ht="24.75">
      <c r="A35" s="11" t="s">
        <v>363</v>
      </c>
      <c r="B35" s="11" t="s">
        <v>233</v>
      </c>
      <c r="C35" s="11" t="s">
        <v>214</v>
      </c>
      <c r="D35" s="11" t="s">
        <v>2691</v>
      </c>
      <c r="E35" s="11">
        <v>1</v>
      </c>
    </row>
    <row r="36" spans="1:5" ht="24.75">
      <c r="A36" s="11" t="s">
        <v>363</v>
      </c>
      <c r="B36" s="11" t="s">
        <v>233</v>
      </c>
      <c r="C36" s="11" t="s">
        <v>214</v>
      </c>
      <c r="D36" s="11" t="s">
        <v>2692</v>
      </c>
      <c r="E36" s="11">
        <v>1</v>
      </c>
    </row>
    <row r="37" spans="1:5" ht="24.75">
      <c r="A37" s="11" t="s">
        <v>363</v>
      </c>
      <c r="B37" s="11" t="s">
        <v>233</v>
      </c>
      <c r="C37" s="11" t="s">
        <v>214</v>
      </c>
      <c r="D37" s="11" t="s">
        <v>2693</v>
      </c>
      <c r="E37" s="11">
        <v>1</v>
      </c>
    </row>
    <row r="38" spans="1:5" ht="24.75">
      <c r="A38" s="11" t="s">
        <v>363</v>
      </c>
      <c r="B38" s="11" t="s">
        <v>233</v>
      </c>
      <c r="C38" s="11" t="s">
        <v>214</v>
      </c>
      <c r="D38" s="11" t="s">
        <v>2694</v>
      </c>
      <c r="E38" s="11">
        <v>1</v>
      </c>
    </row>
    <row r="39" spans="1:5" ht="24.75">
      <c r="A39" s="11" t="s">
        <v>363</v>
      </c>
      <c r="B39" s="11" t="s">
        <v>233</v>
      </c>
      <c r="C39" s="11" t="s">
        <v>214</v>
      </c>
      <c r="D39" s="11" t="s">
        <v>2695</v>
      </c>
      <c r="E39" s="11">
        <v>1</v>
      </c>
    </row>
    <row r="40" spans="1:5" ht="24.75">
      <c r="A40" s="11" t="s">
        <v>363</v>
      </c>
      <c r="B40" s="11" t="s">
        <v>233</v>
      </c>
      <c r="C40" s="11" t="s">
        <v>214</v>
      </c>
      <c r="D40" s="11" t="s">
        <v>2696</v>
      </c>
      <c r="E40" s="11">
        <v>1</v>
      </c>
    </row>
    <row r="41" spans="1:5" ht="24.75">
      <c r="A41" s="11" t="s">
        <v>363</v>
      </c>
      <c r="B41" s="11" t="s">
        <v>233</v>
      </c>
      <c r="C41" s="11" t="s">
        <v>214</v>
      </c>
      <c r="D41" s="11" t="s">
        <v>2697</v>
      </c>
      <c r="E41" s="11">
        <v>1</v>
      </c>
    </row>
    <row r="42" spans="1:5" ht="24.75">
      <c r="A42" s="11" t="s">
        <v>363</v>
      </c>
      <c r="B42" s="11" t="s">
        <v>233</v>
      </c>
      <c r="C42" s="11" t="s">
        <v>214</v>
      </c>
      <c r="D42" s="11" t="s">
        <v>2698</v>
      </c>
      <c r="E42" s="11">
        <v>1</v>
      </c>
    </row>
    <row r="43" spans="1:5" ht="24.75">
      <c r="A43" s="11" t="s">
        <v>363</v>
      </c>
      <c r="B43" s="11" t="s">
        <v>233</v>
      </c>
      <c r="C43" s="11" t="s">
        <v>214</v>
      </c>
      <c r="D43" s="11" t="s">
        <v>2699</v>
      </c>
      <c r="E43" s="11">
        <v>1</v>
      </c>
    </row>
    <row r="44" spans="1:5" ht="24.75">
      <c r="A44" s="11" t="s">
        <v>363</v>
      </c>
      <c r="B44" s="11" t="s">
        <v>233</v>
      </c>
      <c r="C44" s="11" t="s">
        <v>214</v>
      </c>
      <c r="D44" s="11" t="s">
        <v>2700</v>
      </c>
      <c r="E44" s="11">
        <v>1</v>
      </c>
    </row>
    <row r="45" spans="1:5" ht="24.75">
      <c r="A45" s="11" t="s">
        <v>363</v>
      </c>
      <c r="B45" s="11" t="s">
        <v>233</v>
      </c>
      <c r="C45" s="11" t="s">
        <v>214</v>
      </c>
      <c r="D45" s="11" t="s">
        <v>2701</v>
      </c>
      <c r="E45" s="11">
        <v>1</v>
      </c>
    </row>
    <row r="46" spans="1:5" ht="24.75">
      <c r="A46" s="11" t="s">
        <v>363</v>
      </c>
      <c r="B46" s="11" t="s">
        <v>233</v>
      </c>
      <c r="C46" s="11" t="s">
        <v>214</v>
      </c>
      <c r="D46" s="11" t="s">
        <v>2702</v>
      </c>
      <c r="E46" s="11">
        <v>1</v>
      </c>
    </row>
    <row r="47" spans="1:5" ht="24.75">
      <c r="A47" s="11" t="s">
        <v>363</v>
      </c>
      <c r="B47" s="11" t="s">
        <v>233</v>
      </c>
      <c r="C47" s="11" t="s">
        <v>214</v>
      </c>
      <c r="D47" s="11" t="s">
        <v>2703</v>
      </c>
      <c r="E47" s="11">
        <v>1</v>
      </c>
    </row>
    <row r="48" spans="1:5" ht="24.75">
      <c r="A48" s="11" t="s">
        <v>363</v>
      </c>
      <c r="B48" s="11" t="s">
        <v>233</v>
      </c>
      <c r="C48" s="11" t="s">
        <v>214</v>
      </c>
      <c r="D48" s="11" t="s">
        <v>2704</v>
      </c>
      <c r="E48" s="11">
        <v>1</v>
      </c>
    </row>
    <row r="49" spans="1:5" ht="24.75">
      <c r="A49" s="11" t="s">
        <v>363</v>
      </c>
      <c r="B49" s="11" t="s">
        <v>233</v>
      </c>
      <c r="C49" s="11" t="s">
        <v>214</v>
      </c>
      <c r="D49" s="11" t="s">
        <v>2705</v>
      </c>
      <c r="E49" s="11">
        <v>1</v>
      </c>
    </row>
    <row r="50" spans="1:5" ht="24.75">
      <c r="A50" s="11" t="s">
        <v>363</v>
      </c>
      <c r="B50" s="11" t="s">
        <v>233</v>
      </c>
      <c r="C50" s="11" t="s">
        <v>214</v>
      </c>
      <c r="D50" s="11" t="s">
        <v>2706</v>
      </c>
      <c r="E50" s="11">
        <v>1</v>
      </c>
    </row>
    <row r="51" spans="1:5" ht="24.75">
      <c r="A51" s="11" t="s">
        <v>363</v>
      </c>
      <c r="B51" s="11" t="s">
        <v>233</v>
      </c>
      <c r="C51" s="11" t="s">
        <v>214</v>
      </c>
      <c r="D51" s="11" t="s">
        <v>2707</v>
      </c>
      <c r="E51" s="11">
        <v>1</v>
      </c>
    </row>
    <row r="52" spans="1:5" ht="24.75">
      <c r="A52" s="11" t="s">
        <v>363</v>
      </c>
      <c r="B52" s="11" t="s">
        <v>233</v>
      </c>
      <c r="C52" s="11" t="s">
        <v>214</v>
      </c>
      <c r="D52" s="11" t="s">
        <v>2708</v>
      </c>
      <c r="E52" s="11">
        <v>1</v>
      </c>
    </row>
    <row r="53" spans="1:5" ht="24.75">
      <c r="A53" s="11" t="s">
        <v>363</v>
      </c>
      <c r="B53" s="11" t="s">
        <v>233</v>
      </c>
      <c r="C53" s="11" t="s">
        <v>214</v>
      </c>
      <c r="D53" s="11" t="s">
        <v>2709</v>
      </c>
      <c r="E53" s="11">
        <v>1</v>
      </c>
    </row>
    <row r="54" spans="1:5" ht="24.75">
      <c r="A54" s="11" t="s">
        <v>363</v>
      </c>
      <c r="B54" s="11" t="s">
        <v>233</v>
      </c>
      <c r="C54" s="11" t="s">
        <v>214</v>
      </c>
      <c r="D54" s="11" t="s">
        <v>2710</v>
      </c>
      <c r="E54" s="11">
        <v>1</v>
      </c>
    </row>
    <row r="55" spans="1:5" ht="24.75">
      <c r="A55" s="11" t="s">
        <v>363</v>
      </c>
      <c r="B55" s="11" t="s">
        <v>233</v>
      </c>
      <c r="C55" s="11" t="s">
        <v>214</v>
      </c>
      <c r="D55" s="11" t="s">
        <v>2711</v>
      </c>
      <c r="E55" s="11">
        <v>1</v>
      </c>
    </row>
    <row r="56" spans="1:5" ht="24.75">
      <c r="A56" s="11" t="s">
        <v>363</v>
      </c>
      <c r="B56" s="11" t="s">
        <v>233</v>
      </c>
      <c r="C56" s="11" t="s">
        <v>214</v>
      </c>
      <c r="D56" s="11" t="s">
        <v>2712</v>
      </c>
      <c r="E56" s="11">
        <v>1</v>
      </c>
    </row>
    <row r="57" spans="1:5" ht="24.75">
      <c r="A57" s="11" t="s">
        <v>363</v>
      </c>
      <c r="B57" s="11" t="s">
        <v>233</v>
      </c>
      <c r="C57" s="11" t="s">
        <v>214</v>
      </c>
      <c r="D57" s="11" t="s">
        <v>2713</v>
      </c>
      <c r="E57" s="11">
        <v>1</v>
      </c>
    </row>
    <row r="58" spans="1:5" ht="24.75">
      <c r="A58" s="11" t="s">
        <v>363</v>
      </c>
      <c r="B58" s="11" t="s">
        <v>233</v>
      </c>
      <c r="C58" s="11" t="s">
        <v>214</v>
      </c>
      <c r="D58" s="11" t="s">
        <v>2714</v>
      </c>
      <c r="E58" s="11">
        <v>1</v>
      </c>
    </row>
    <row r="59" spans="1:5" ht="24.75">
      <c r="A59" s="11" t="s">
        <v>363</v>
      </c>
      <c r="B59" s="11" t="s">
        <v>233</v>
      </c>
      <c r="C59" s="11" t="s">
        <v>214</v>
      </c>
      <c r="D59" s="11" t="s">
        <v>2715</v>
      </c>
      <c r="E59" s="11">
        <v>1</v>
      </c>
    </row>
    <row r="60" spans="1:5" ht="24.75">
      <c r="A60" s="11" t="s">
        <v>363</v>
      </c>
      <c r="B60" s="11" t="s">
        <v>233</v>
      </c>
      <c r="C60" s="11" t="s">
        <v>214</v>
      </c>
      <c r="D60" s="11" t="s">
        <v>2716</v>
      </c>
      <c r="E60" s="11">
        <v>1</v>
      </c>
    </row>
    <row r="61" spans="1:5" ht="24.75">
      <c r="A61" s="11" t="s">
        <v>363</v>
      </c>
      <c r="B61" s="11" t="s">
        <v>233</v>
      </c>
      <c r="C61" s="11" t="s">
        <v>214</v>
      </c>
      <c r="D61" s="11" t="s">
        <v>2717</v>
      </c>
      <c r="E61" s="11">
        <v>1</v>
      </c>
    </row>
    <row r="62" spans="1:5" ht="24.75">
      <c r="A62" s="11" t="s">
        <v>363</v>
      </c>
      <c r="B62" s="11" t="s">
        <v>233</v>
      </c>
      <c r="C62" s="11" t="s">
        <v>214</v>
      </c>
      <c r="D62" s="11" t="s">
        <v>2718</v>
      </c>
      <c r="E62" s="11">
        <v>1</v>
      </c>
    </row>
    <row r="63" spans="1:5" ht="24.75">
      <c r="A63" s="11" t="s">
        <v>363</v>
      </c>
      <c r="B63" s="11" t="s">
        <v>233</v>
      </c>
      <c r="C63" s="11" t="s">
        <v>214</v>
      </c>
      <c r="D63" s="11" t="s">
        <v>2719</v>
      </c>
      <c r="E63" s="11">
        <v>1</v>
      </c>
    </row>
    <row r="64" spans="1:5" ht="24.75">
      <c r="A64" s="11" t="s">
        <v>363</v>
      </c>
      <c r="B64" s="11" t="s">
        <v>233</v>
      </c>
      <c r="C64" s="11" t="s">
        <v>214</v>
      </c>
      <c r="D64" s="11" t="s">
        <v>2720</v>
      </c>
      <c r="E64" s="11">
        <v>1</v>
      </c>
    </row>
    <row r="65" spans="1:5" ht="24.75">
      <c r="A65" s="11" t="s">
        <v>363</v>
      </c>
      <c r="B65" s="11" t="s">
        <v>233</v>
      </c>
      <c r="C65" s="11" t="s">
        <v>214</v>
      </c>
      <c r="D65" s="11" t="s">
        <v>2721</v>
      </c>
      <c r="E65" s="11">
        <v>1</v>
      </c>
    </row>
    <row r="66" spans="1:5" ht="24.75">
      <c r="A66" s="11" t="s">
        <v>363</v>
      </c>
      <c r="B66" s="11" t="s">
        <v>233</v>
      </c>
      <c r="C66" s="11" t="s">
        <v>214</v>
      </c>
      <c r="D66" s="11" t="s">
        <v>2722</v>
      </c>
      <c r="E66" s="11">
        <v>1</v>
      </c>
    </row>
    <row r="67" spans="1:5" ht="24.75">
      <c r="A67" s="11" t="s">
        <v>363</v>
      </c>
      <c r="B67" s="11" t="s">
        <v>233</v>
      </c>
      <c r="C67" s="11" t="s">
        <v>214</v>
      </c>
      <c r="D67" s="11" t="s">
        <v>2723</v>
      </c>
      <c r="E67" s="11">
        <v>1</v>
      </c>
    </row>
    <row r="68" spans="1:5" ht="24.75">
      <c r="A68" s="11" t="s">
        <v>363</v>
      </c>
      <c r="B68" s="11" t="s">
        <v>233</v>
      </c>
      <c r="C68" s="11" t="s">
        <v>214</v>
      </c>
      <c r="D68" s="11" t="s">
        <v>2724</v>
      </c>
      <c r="E68" s="11">
        <v>1</v>
      </c>
    </row>
    <row r="69" spans="1:5" ht="24.75">
      <c r="A69" s="11" t="s">
        <v>363</v>
      </c>
      <c r="B69" s="11" t="s">
        <v>233</v>
      </c>
      <c r="C69" s="11" t="s">
        <v>214</v>
      </c>
      <c r="D69" s="11" t="s">
        <v>2725</v>
      </c>
      <c r="E69" s="11">
        <v>1</v>
      </c>
    </row>
    <row r="70" spans="1:5" ht="24.75">
      <c r="A70" s="11" t="s">
        <v>363</v>
      </c>
      <c r="B70" s="11" t="s">
        <v>233</v>
      </c>
      <c r="C70" s="11" t="s">
        <v>214</v>
      </c>
      <c r="D70" s="11" t="s">
        <v>2726</v>
      </c>
      <c r="E70" s="11">
        <v>1</v>
      </c>
    </row>
    <row r="71" spans="1:5" ht="24.75">
      <c r="A71" s="11" t="s">
        <v>363</v>
      </c>
      <c r="B71" s="11" t="s">
        <v>233</v>
      </c>
      <c r="C71" s="11" t="s">
        <v>214</v>
      </c>
      <c r="D71" s="11" t="s">
        <v>2727</v>
      </c>
      <c r="E71" s="11">
        <v>1</v>
      </c>
    </row>
    <row r="72" spans="1:5" ht="24.75">
      <c r="A72" s="11" t="s">
        <v>363</v>
      </c>
      <c r="B72" s="11" t="s">
        <v>233</v>
      </c>
      <c r="C72" s="11" t="s">
        <v>214</v>
      </c>
      <c r="D72" s="11" t="s">
        <v>2728</v>
      </c>
      <c r="E72" s="11">
        <v>1</v>
      </c>
    </row>
    <row r="73" spans="1:5" ht="24.75">
      <c r="A73" s="11" t="s">
        <v>363</v>
      </c>
      <c r="B73" s="11" t="s">
        <v>233</v>
      </c>
      <c r="C73" s="11" t="s">
        <v>214</v>
      </c>
      <c r="D73" s="11" t="s">
        <v>2729</v>
      </c>
      <c r="E73" s="11">
        <v>1</v>
      </c>
    </row>
    <row r="74" spans="1:5" ht="24.75">
      <c r="A74" s="11" t="s">
        <v>363</v>
      </c>
      <c r="B74" s="11" t="s">
        <v>233</v>
      </c>
      <c r="C74" s="11" t="s">
        <v>214</v>
      </c>
      <c r="D74" s="11" t="s">
        <v>2730</v>
      </c>
      <c r="E74" s="11">
        <v>1</v>
      </c>
    </row>
    <row r="75" spans="1:5" ht="24.75">
      <c r="A75" s="11" t="s">
        <v>363</v>
      </c>
      <c r="B75" s="11" t="s">
        <v>233</v>
      </c>
      <c r="C75" s="11" t="s">
        <v>214</v>
      </c>
      <c r="D75" s="11" t="s">
        <v>2731</v>
      </c>
      <c r="E75" s="11">
        <v>1</v>
      </c>
    </row>
    <row r="76" spans="1:5" ht="24.75">
      <c r="A76" s="11" t="s">
        <v>363</v>
      </c>
      <c r="B76" s="11" t="s">
        <v>233</v>
      </c>
      <c r="C76" s="11" t="s">
        <v>214</v>
      </c>
      <c r="D76" s="11" t="s">
        <v>2732</v>
      </c>
      <c r="E76" s="11">
        <v>1</v>
      </c>
    </row>
    <row r="77" spans="1:5" ht="24.75">
      <c r="A77" s="11" t="s">
        <v>363</v>
      </c>
      <c r="B77" s="11" t="s">
        <v>233</v>
      </c>
      <c r="C77" s="11" t="s">
        <v>214</v>
      </c>
      <c r="D77" s="11" t="s">
        <v>2733</v>
      </c>
      <c r="E77" s="11">
        <v>1</v>
      </c>
    </row>
    <row r="78" spans="1:5" ht="24.75">
      <c r="A78" s="11" t="s">
        <v>363</v>
      </c>
      <c r="B78" s="11" t="s">
        <v>233</v>
      </c>
      <c r="C78" s="11" t="s">
        <v>214</v>
      </c>
      <c r="D78" s="11" t="s">
        <v>2734</v>
      </c>
      <c r="E78" s="11">
        <v>1</v>
      </c>
    </row>
    <row r="79" spans="1:5" ht="24.75">
      <c r="A79" s="11" t="s">
        <v>363</v>
      </c>
      <c r="B79" s="11" t="s">
        <v>233</v>
      </c>
      <c r="C79" s="11" t="s">
        <v>214</v>
      </c>
      <c r="D79" s="11" t="s">
        <v>2735</v>
      </c>
      <c r="E79" s="11">
        <v>1</v>
      </c>
    </row>
    <row r="80" spans="1:5" ht="24.75">
      <c r="A80" s="11" t="s">
        <v>363</v>
      </c>
      <c r="B80" s="11" t="s">
        <v>233</v>
      </c>
      <c r="C80" s="11" t="s">
        <v>214</v>
      </c>
      <c r="D80" s="11" t="s">
        <v>2736</v>
      </c>
      <c r="E80" s="11">
        <v>1</v>
      </c>
    </row>
    <row r="81" spans="1:5" ht="24.75">
      <c r="A81" s="11" t="s">
        <v>363</v>
      </c>
      <c r="B81" s="11" t="s">
        <v>233</v>
      </c>
      <c r="C81" s="11" t="s">
        <v>214</v>
      </c>
      <c r="D81" s="11" t="s">
        <v>2737</v>
      </c>
      <c r="E81" s="11">
        <v>1</v>
      </c>
    </row>
    <row r="82" spans="1:5" ht="24.75">
      <c r="A82" s="11" t="s">
        <v>363</v>
      </c>
      <c r="B82" s="11" t="s">
        <v>233</v>
      </c>
      <c r="C82" s="11" t="s">
        <v>214</v>
      </c>
      <c r="D82" s="11" t="s">
        <v>2738</v>
      </c>
      <c r="E82" s="11">
        <v>1</v>
      </c>
    </row>
    <row r="83" spans="1:5" ht="24.75">
      <c r="A83" s="11" t="s">
        <v>363</v>
      </c>
      <c r="B83" s="11" t="s">
        <v>233</v>
      </c>
      <c r="C83" s="11" t="s">
        <v>214</v>
      </c>
      <c r="D83" s="11" t="s">
        <v>2739</v>
      </c>
      <c r="E83" s="11">
        <v>1</v>
      </c>
    </row>
    <row r="84" spans="1:5" ht="24.75">
      <c r="A84" s="11" t="s">
        <v>363</v>
      </c>
      <c r="B84" s="11" t="s">
        <v>233</v>
      </c>
      <c r="C84" s="11" t="s">
        <v>214</v>
      </c>
      <c r="D84" s="11" t="s">
        <v>2740</v>
      </c>
      <c r="E84" s="11">
        <v>1</v>
      </c>
    </row>
    <row r="85" spans="1:5" ht="24.75">
      <c r="A85" s="11" t="s">
        <v>363</v>
      </c>
      <c r="B85" s="11" t="s">
        <v>233</v>
      </c>
      <c r="C85" s="11" t="s">
        <v>214</v>
      </c>
      <c r="D85" s="11" t="s">
        <v>2741</v>
      </c>
      <c r="E85" s="11">
        <v>1</v>
      </c>
    </row>
    <row r="86" spans="1:5" ht="24.75">
      <c r="A86" s="11" t="s">
        <v>363</v>
      </c>
      <c r="B86" s="11" t="s">
        <v>233</v>
      </c>
      <c r="C86" s="11" t="s">
        <v>214</v>
      </c>
      <c r="D86" s="11" t="s">
        <v>2742</v>
      </c>
      <c r="E86" s="11">
        <v>1</v>
      </c>
    </row>
    <row r="87" spans="1:5" ht="24.75">
      <c r="A87" s="11" t="s">
        <v>363</v>
      </c>
      <c r="B87" s="11" t="s">
        <v>233</v>
      </c>
      <c r="C87" s="11" t="s">
        <v>214</v>
      </c>
      <c r="D87" s="11" t="s">
        <v>2743</v>
      </c>
      <c r="E87" s="11">
        <v>1</v>
      </c>
    </row>
    <row r="88" spans="1:5" ht="24.75">
      <c r="A88" s="11" t="s">
        <v>363</v>
      </c>
      <c r="B88" s="11" t="s">
        <v>233</v>
      </c>
      <c r="C88" s="11" t="s">
        <v>214</v>
      </c>
      <c r="D88" s="11" t="s">
        <v>2744</v>
      </c>
      <c r="E88" s="11">
        <v>1</v>
      </c>
    </row>
    <row r="89" spans="1:5" ht="24.75">
      <c r="A89" s="11" t="s">
        <v>363</v>
      </c>
      <c r="B89" s="11" t="s">
        <v>233</v>
      </c>
      <c r="C89" s="11" t="s">
        <v>214</v>
      </c>
      <c r="D89" s="11" t="s">
        <v>2745</v>
      </c>
      <c r="E89" s="11">
        <v>1</v>
      </c>
    </row>
    <row r="90" spans="1:5" ht="24.75">
      <c r="A90" s="11" t="s">
        <v>363</v>
      </c>
      <c r="B90" s="11" t="s">
        <v>233</v>
      </c>
      <c r="C90" s="11" t="s">
        <v>214</v>
      </c>
      <c r="D90" s="11" t="s">
        <v>2746</v>
      </c>
      <c r="E90" s="11">
        <v>1</v>
      </c>
    </row>
    <row r="91" spans="1:5" ht="24.75">
      <c r="A91" s="11" t="s">
        <v>363</v>
      </c>
      <c r="B91" s="11" t="s">
        <v>233</v>
      </c>
      <c r="C91" s="11" t="s">
        <v>214</v>
      </c>
      <c r="D91" s="11" t="s">
        <v>2747</v>
      </c>
      <c r="E91" s="11">
        <v>1</v>
      </c>
    </row>
    <row r="92" spans="1:5" ht="24.75">
      <c r="A92" s="11" t="s">
        <v>363</v>
      </c>
      <c r="B92" s="11" t="s">
        <v>233</v>
      </c>
      <c r="C92" s="11" t="s">
        <v>214</v>
      </c>
      <c r="D92" s="11" t="s">
        <v>2748</v>
      </c>
      <c r="E92" s="11">
        <v>1</v>
      </c>
    </row>
    <row r="93" spans="1:5" ht="24.75">
      <c r="A93" s="11" t="s">
        <v>363</v>
      </c>
      <c r="B93" s="11" t="s">
        <v>233</v>
      </c>
      <c r="C93" s="11" t="s">
        <v>214</v>
      </c>
      <c r="D93" s="11" t="s">
        <v>2749</v>
      </c>
      <c r="E93" s="11">
        <v>1</v>
      </c>
    </row>
    <row r="94" spans="1:5" ht="24.75">
      <c r="A94" s="11" t="s">
        <v>363</v>
      </c>
      <c r="B94" s="11" t="s">
        <v>233</v>
      </c>
      <c r="C94" s="11" t="s">
        <v>214</v>
      </c>
      <c r="D94" s="11" t="s">
        <v>2750</v>
      </c>
      <c r="E94" s="11">
        <v>1</v>
      </c>
    </row>
    <row r="95" spans="1:5" ht="24.75">
      <c r="A95" s="11" t="s">
        <v>363</v>
      </c>
      <c r="B95" s="11" t="s">
        <v>233</v>
      </c>
      <c r="C95" s="11" t="s">
        <v>214</v>
      </c>
      <c r="D95" s="11" t="s">
        <v>2751</v>
      </c>
      <c r="E95" s="11">
        <v>1</v>
      </c>
    </row>
    <row r="96" spans="1:5" ht="24.75">
      <c r="A96" s="11" t="s">
        <v>363</v>
      </c>
      <c r="B96" s="11" t="s">
        <v>233</v>
      </c>
      <c r="C96" s="11" t="s">
        <v>214</v>
      </c>
      <c r="D96" s="11" t="s">
        <v>2752</v>
      </c>
      <c r="E96" s="11">
        <v>1</v>
      </c>
    </row>
    <row r="97" spans="1:5" ht="24.75">
      <c r="A97" s="11" t="s">
        <v>363</v>
      </c>
      <c r="B97" s="11" t="s">
        <v>233</v>
      </c>
      <c r="C97" s="11" t="s">
        <v>214</v>
      </c>
      <c r="D97" s="11" t="s">
        <v>2753</v>
      </c>
      <c r="E97" s="11">
        <v>1</v>
      </c>
    </row>
    <row r="98" spans="1:5" ht="24.75">
      <c r="A98" s="11" t="s">
        <v>363</v>
      </c>
      <c r="B98" s="11" t="s">
        <v>233</v>
      </c>
      <c r="C98" s="11" t="s">
        <v>214</v>
      </c>
      <c r="D98" s="11" t="s">
        <v>2754</v>
      </c>
      <c r="E98" s="11">
        <v>1</v>
      </c>
    </row>
    <row r="99" spans="1:5" ht="24.75">
      <c r="A99" s="11" t="s">
        <v>363</v>
      </c>
      <c r="B99" s="11" t="s">
        <v>233</v>
      </c>
      <c r="C99" s="11" t="s">
        <v>214</v>
      </c>
      <c r="D99" s="11" t="s">
        <v>2755</v>
      </c>
      <c r="E99" s="11">
        <v>1</v>
      </c>
    </row>
    <row r="100" spans="1:5" ht="24.75">
      <c r="A100" s="11" t="s">
        <v>363</v>
      </c>
      <c r="B100" s="11" t="s">
        <v>233</v>
      </c>
      <c r="C100" s="11" t="s">
        <v>214</v>
      </c>
      <c r="D100" s="11" t="s">
        <v>2756</v>
      </c>
      <c r="E100" s="11">
        <v>1</v>
      </c>
    </row>
    <row r="101" spans="1:5" ht="24.75">
      <c r="A101" s="11" t="s">
        <v>363</v>
      </c>
      <c r="B101" s="11" t="s">
        <v>233</v>
      </c>
      <c r="C101" s="11" t="s">
        <v>214</v>
      </c>
      <c r="D101" s="11" t="s">
        <v>2757</v>
      </c>
      <c r="E101" s="11">
        <v>1</v>
      </c>
    </row>
    <row r="102" spans="1:5" ht="24.75">
      <c r="A102" s="11" t="s">
        <v>363</v>
      </c>
      <c r="B102" s="11" t="s">
        <v>233</v>
      </c>
      <c r="C102" s="11" t="s">
        <v>214</v>
      </c>
      <c r="D102" s="11" t="s">
        <v>2758</v>
      </c>
      <c r="E102" s="11">
        <v>1</v>
      </c>
    </row>
    <row r="103" spans="1:5" ht="24.75">
      <c r="A103" s="11" t="s">
        <v>363</v>
      </c>
      <c r="B103" s="11" t="s">
        <v>233</v>
      </c>
      <c r="C103" s="11" t="s">
        <v>214</v>
      </c>
      <c r="D103" s="11" t="s">
        <v>2759</v>
      </c>
      <c r="E103" s="11">
        <v>1</v>
      </c>
    </row>
    <row r="104" spans="1:5" ht="24.75">
      <c r="A104" s="11" t="s">
        <v>363</v>
      </c>
      <c r="B104" s="11" t="s">
        <v>233</v>
      </c>
      <c r="C104" s="11" t="s">
        <v>214</v>
      </c>
      <c r="D104" s="11" t="s">
        <v>2760</v>
      </c>
      <c r="E104" s="11">
        <v>1</v>
      </c>
    </row>
    <row r="105" spans="1:5" ht="24.75">
      <c r="A105" s="11" t="s">
        <v>363</v>
      </c>
      <c r="B105" s="11" t="s">
        <v>233</v>
      </c>
      <c r="C105" s="11" t="s">
        <v>214</v>
      </c>
      <c r="D105" s="11" t="s">
        <v>2761</v>
      </c>
      <c r="E105" s="11">
        <v>1</v>
      </c>
    </row>
    <row r="106" spans="1:5" ht="24.75">
      <c r="A106" s="11" t="s">
        <v>363</v>
      </c>
      <c r="B106" s="11" t="s">
        <v>233</v>
      </c>
      <c r="C106" s="11" t="s">
        <v>214</v>
      </c>
      <c r="D106" s="11" t="s">
        <v>2762</v>
      </c>
      <c r="E106" s="11">
        <v>1</v>
      </c>
    </row>
    <row r="107" spans="1:5" ht="24.75">
      <c r="A107" s="11" t="s">
        <v>363</v>
      </c>
      <c r="B107" s="11" t="s">
        <v>233</v>
      </c>
      <c r="C107" s="11" t="s">
        <v>214</v>
      </c>
      <c r="D107" s="11" t="s">
        <v>2763</v>
      </c>
      <c r="E107" s="11">
        <v>1</v>
      </c>
    </row>
    <row r="108" spans="1:5" ht="24.75">
      <c r="A108" s="11" t="s">
        <v>363</v>
      </c>
      <c r="B108" s="11" t="s">
        <v>233</v>
      </c>
      <c r="C108" s="11" t="s">
        <v>214</v>
      </c>
      <c r="D108" s="11" t="s">
        <v>2764</v>
      </c>
      <c r="E108" s="11">
        <v>1</v>
      </c>
    </row>
    <row r="109" spans="1:5" ht="24.75">
      <c r="A109" s="11" t="s">
        <v>363</v>
      </c>
      <c r="B109" s="11" t="s">
        <v>233</v>
      </c>
      <c r="C109" s="11" t="s">
        <v>214</v>
      </c>
      <c r="D109" s="11" t="s">
        <v>2765</v>
      </c>
      <c r="E109" s="11">
        <v>1</v>
      </c>
    </row>
    <row r="110" spans="1:5" ht="24.75">
      <c r="A110" s="11" t="s">
        <v>363</v>
      </c>
      <c r="B110" s="11" t="s">
        <v>233</v>
      </c>
      <c r="C110" s="11" t="s">
        <v>214</v>
      </c>
      <c r="D110" s="11" t="s">
        <v>2766</v>
      </c>
      <c r="E110" s="11">
        <v>1</v>
      </c>
    </row>
    <row r="111" spans="1:5" ht="24.75">
      <c r="A111" s="11" t="s">
        <v>363</v>
      </c>
      <c r="B111" s="11" t="s">
        <v>233</v>
      </c>
      <c r="C111" s="11" t="s">
        <v>214</v>
      </c>
      <c r="D111" s="11" t="s">
        <v>2767</v>
      </c>
      <c r="E111" s="11">
        <v>1</v>
      </c>
    </row>
    <row r="112" spans="1:5" ht="24.75">
      <c r="A112" s="11" t="s">
        <v>363</v>
      </c>
      <c r="B112" s="11" t="s">
        <v>233</v>
      </c>
      <c r="C112" s="11" t="s">
        <v>214</v>
      </c>
      <c r="D112" s="11" t="s">
        <v>2768</v>
      </c>
      <c r="E112" s="11">
        <v>1</v>
      </c>
    </row>
    <row r="113" spans="1:5" ht="24.75">
      <c r="A113" s="11" t="s">
        <v>363</v>
      </c>
      <c r="B113" s="11" t="s">
        <v>233</v>
      </c>
      <c r="C113" s="11" t="s">
        <v>214</v>
      </c>
      <c r="D113" s="11" t="s">
        <v>2769</v>
      </c>
      <c r="E113" s="11">
        <v>1</v>
      </c>
    </row>
    <row r="114" spans="1:5" ht="24.75">
      <c r="A114" s="11" t="s">
        <v>363</v>
      </c>
      <c r="B114" s="11" t="s">
        <v>233</v>
      </c>
      <c r="C114" s="11" t="s">
        <v>214</v>
      </c>
      <c r="D114" s="11" t="s">
        <v>2770</v>
      </c>
      <c r="E114" s="11">
        <v>1</v>
      </c>
    </row>
    <row r="115" spans="1:5" ht="24.75">
      <c r="A115" s="11" t="s">
        <v>363</v>
      </c>
      <c r="B115" s="11" t="s">
        <v>233</v>
      </c>
      <c r="C115" s="11" t="s">
        <v>214</v>
      </c>
      <c r="D115" s="11" t="s">
        <v>2771</v>
      </c>
      <c r="E115" s="11">
        <v>1</v>
      </c>
    </row>
    <row r="116" spans="1:5" ht="24.75">
      <c r="A116" s="11" t="s">
        <v>363</v>
      </c>
      <c r="B116" s="11" t="s">
        <v>233</v>
      </c>
      <c r="C116" s="11" t="s">
        <v>214</v>
      </c>
      <c r="D116" s="11" t="s">
        <v>2772</v>
      </c>
      <c r="E116" s="11">
        <v>1</v>
      </c>
    </row>
    <row r="117" spans="1:5" ht="24.75">
      <c r="A117" s="11" t="s">
        <v>363</v>
      </c>
      <c r="B117" s="11" t="s">
        <v>233</v>
      </c>
      <c r="C117" s="11" t="s">
        <v>214</v>
      </c>
      <c r="D117" s="11" t="s">
        <v>2773</v>
      </c>
      <c r="E117" s="11">
        <v>1</v>
      </c>
    </row>
    <row r="118" spans="1:5" ht="24.75">
      <c r="A118" s="11" t="s">
        <v>363</v>
      </c>
      <c r="B118" s="11" t="s">
        <v>233</v>
      </c>
      <c r="C118" s="11" t="s">
        <v>214</v>
      </c>
      <c r="D118" s="11" t="s">
        <v>2774</v>
      </c>
      <c r="E118" s="11">
        <v>1</v>
      </c>
    </row>
    <row r="119" spans="1:5" ht="24.75">
      <c r="A119" s="11" t="s">
        <v>363</v>
      </c>
      <c r="B119" s="11" t="s">
        <v>233</v>
      </c>
      <c r="C119" s="11" t="s">
        <v>214</v>
      </c>
      <c r="D119" s="11" t="s">
        <v>2775</v>
      </c>
      <c r="E119" s="11">
        <v>1</v>
      </c>
    </row>
    <row r="120" spans="1:5" ht="24.75">
      <c r="A120" s="11" t="s">
        <v>363</v>
      </c>
      <c r="B120" s="11" t="s">
        <v>233</v>
      </c>
      <c r="C120" s="11" t="s">
        <v>214</v>
      </c>
      <c r="D120" s="11" t="s">
        <v>2776</v>
      </c>
      <c r="E120" s="11">
        <v>1</v>
      </c>
    </row>
    <row r="121" spans="1:5" ht="24.75">
      <c r="A121" s="11" t="s">
        <v>363</v>
      </c>
      <c r="B121" s="11" t="s">
        <v>233</v>
      </c>
      <c r="C121" s="11" t="s">
        <v>214</v>
      </c>
      <c r="D121" s="11" t="s">
        <v>2777</v>
      </c>
      <c r="E121" s="11">
        <v>1</v>
      </c>
    </row>
    <row r="122" spans="1:5" ht="24.75">
      <c r="A122" s="11" t="s">
        <v>363</v>
      </c>
      <c r="B122" s="11" t="s">
        <v>233</v>
      </c>
      <c r="C122" s="11" t="s">
        <v>214</v>
      </c>
      <c r="D122" s="11" t="s">
        <v>2778</v>
      </c>
      <c r="E122" s="11">
        <v>1</v>
      </c>
    </row>
    <row r="123" spans="1:5" ht="24.75">
      <c r="A123" s="11" t="s">
        <v>363</v>
      </c>
      <c r="B123" s="11" t="s">
        <v>233</v>
      </c>
      <c r="C123" s="11" t="s">
        <v>214</v>
      </c>
      <c r="D123" s="11" t="s">
        <v>2779</v>
      </c>
      <c r="E123" s="11">
        <v>1</v>
      </c>
    </row>
    <row r="124" spans="1:5" ht="24.75">
      <c r="A124" s="11" t="s">
        <v>363</v>
      </c>
      <c r="B124" s="11" t="s">
        <v>233</v>
      </c>
      <c r="C124" s="11" t="s">
        <v>214</v>
      </c>
      <c r="D124" s="11" t="s">
        <v>2780</v>
      </c>
      <c r="E124" s="11">
        <v>1</v>
      </c>
    </row>
    <row r="125" spans="1:5" ht="24.75">
      <c r="A125" s="11" t="s">
        <v>363</v>
      </c>
      <c r="B125" s="11" t="s">
        <v>233</v>
      </c>
      <c r="C125" s="11" t="s">
        <v>214</v>
      </c>
      <c r="D125" s="11" t="s">
        <v>2781</v>
      </c>
      <c r="E125" s="11">
        <v>1</v>
      </c>
    </row>
    <row r="126" spans="1:5" ht="24.75">
      <c r="A126" s="11" t="s">
        <v>363</v>
      </c>
      <c r="B126" s="11" t="s">
        <v>233</v>
      </c>
      <c r="C126" s="11" t="s">
        <v>214</v>
      </c>
      <c r="D126" s="11" t="s">
        <v>2782</v>
      </c>
      <c r="E126" s="11">
        <v>1</v>
      </c>
    </row>
    <row r="127" spans="1:5" ht="24.75">
      <c r="A127" s="11" t="s">
        <v>363</v>
      </c>
      <c r="B127" s="11" t="s">
        <v>233</v>
      </c>
      <c r="C127" s="11" t="s">
        <v>214</v>
      </c>
      <c r="D127" s="11" t="s">
        <v>2783</v>
      </c>
      <c r="E127" s="11">
        <v>1</v>
      </c>
    </row>
    <row r="128" spans="1:5" ht="24.75">
      <c r="A128" s="11" t="s">
        <v>363</v>
      </c>
      <c r="B128" s="11" t="s">
        <v>233</v>
      </c>
      <c r="C128" s="11" t="s">
        <v>214</v>
      </c>
      <c r="D128" s="11" t="s">
        <v>2784</v>
      </c>
      <c r="E128" s="11">
        <v>1</v>
      </c>
    </row>
    <row r="129" spans="1:5" ht="24.75">
      <c r="A129" s="11" t="s">
        <v>363</v>
      </c>
      <c r="B129" s="11" t="s">
        <v>233</v>
      </c>
      <c r="C129" s="11" t="s">
        <v>214</v>
      </c>
      <c r="D129" s="11" t="s">
        <v>2785</v>
      </c>
      <c r="E129" s="11">
        <v>1</v>
      </c>
    </row>
    <row r="130" spans="1:5" ht="24.75">
      <c r="A130" s="11" t="s">
        <v>363</v>
      </c>
      <c r="B130" s="11" t="s">
        <v>233</v>
      </c>
      <c r="C130" s="11" t="s">
        <v>214</v>
      </c>
      <c r="D130" s="11" t="s">
        <v>2786</v>
      </c>
      <c r="E130" s="11">
        <v>1</v>
      </c>
    </row>
    <row r="131" spans="1:5" ht="24.75">
      <c r="A131" s="11" t="s">
        <v>363</v>
      </c>
      <c r="B131" s="11" t="s">
        <v>233</v>
      </c>
      <c r="C131" s="11" t="s">
        <v>214</v>
      </c>
      <c r="D131" s="11" t="s">
        <v>2787</v>
      </c>
      <c r="E131" s="11">
        <v>1</v>
      </c>
    </row>
    <row r="132" spans="1:5" ht="24.75">
      <c r="A132" s="11" t="s">
        <v>363</v>
      </c>
      <c r="B132" s="11" t="s">
        <v>233</v>
      </c>
      <c r="C132" s="11" t="s">
        <v>214</v>
      </c>
      <c r="D132" s="11" t="s">
        <v>2788</v>
      </c>
      <c r="E132" s="11">
        <v>1</v>
      </c>
    </row>
    <row r="133" spans="1:5" ht="24.75">
      <c r="A133" s="11" t="s">
        <v>363</v>
      </c>
      <c r="B133" s="11" t="s">
        <v>233</v>
      </c>
      <c r="C133" s="11" t="s">
        <v>214</v>
      </c>
      <c r="D133" s="11" t="s">
        <v>2789</v>
      </c>
      <c r="E133" s="11">
        <v>1</v>
      </c>
    </row>
    <row r="134" spans="1:5" ht="24.75">
      <c r="A134" s="11" t="s">
        <v>363</v>
      </c>
      <c r="B134" s="11" t="s">
        <v>233</v>
      </c>
      <c r="C134" s="11" t="s">
        <v>214</v>
      </c>
      <c r="D134" s="11" t="s">
        <v>2790</v>
      </c>
      <c r="E134" s="11">
        <v>1</v>
      </c>
    </row>
    <row r="135" spans="1:5" ht="24.75">
      <c r="A135" s="11" t="s">
        <v>363</v>
      </c>
      <c r="B135" s="11" t="s">
        <v>233</v>
      </c>
      <c r="C135" s="11" t="s">
        <v>214</v>
      </c>
      <c r="D135" s="11" t="s">
        <v>2791</v>
      </c>
      <c r="E135" s="11">
        <v>1</v>
      </c>
    </row>
    <row r="136" spans="1:5" ht="24.75">
      <c r="A136" s="11" t="s">
        <v>363</v>
      </c>
      <c r="B136" s="11" t="s">
        <v>233</v>
      </c>
      <c r="C136" s="11" t="s">
        <v>214</v>
      </c>
      <c r="D136" s="11" t="s">
        <v>2792</v>
      </c>
      <c r="E136" s="11">
        <v>1</v>
      </c>
    </row>
    <row r="137" spans="1:5" ht="24.75">
      <c r="A137" s="11" t="s">
        <v>363</v>
      </c>
      <c r="B137" s="11" t="s">
        <v>233</v>
      </c>
      <c r="C137" s="11" t="s">
        <v>214</v>
      </c>
      <c r="D137" s="11" t="s">
        <v>2793</v>
      </c>
      <c r="E137" s="11">
        <v>1</v>
      </c>
    </row>
    <row r="138" spans="1:5" ht="24.75">
      <c r="A138" s="11" t="s">
        <v>363</v>
      </c>
      <c r="B138" s="11" t="s">
        <v>233</v>
      </c>
      <c r="C138" s="11" t="s">
        <v>214</v>
      </c>
      <c r="D138" s="11" t="s">
        <v>2794</v>
      </c>
      <c r="E138" s="11">
        <v>1</v>
      </c>
    </row>
    <row r="139" spans="1:5" ht="24.75">
      <c r="A139" s="11" t="s">
        <v>363</v>
      </c>
      <c r="B139" s="11" t="s">
        <v>233</v>
      </c>
      <c r="C139" s="11" t="s">
        <v>214</v>
      </c>
      <c r="D139" s="11" t="s">
        <v>2795</v>
      </c>
      <c r="E139" s="11">
        <v>1</v>
      </c>
    </row>
    <row r="140" spans="1:5" ht="24.75">
      <c r="A140" s="11" t="s">
        <v>363</v>
      </c>
      <c r="B140" s="11" t="s">
        <v>233</v>
      </c>
      <c r="C140" s="11" t="s">
        <v>214</v>
      </c>
      <c r="D140" s="11" t="s">
        <v>2796</v>
      </c>
      <c r="E140" s="11">
        <v>1</v>
      </c>
    </row>
    <row r="141" spans="1:5" ht="24.75">
      <c r="A141" s="11" t="s">
        <v>363</v>
      </c>
      <c r="B141" s="11" t="s">
        <v>233</v>
      </c>
      <c r="C141" s="11" t="s">
        <v>214</v>
      </c>
      <c r="D141" s="11" t="s">
        <v>2797</v>
      </c>
      <c r="E141" s="11">
        <v>1</v>
      </c>
    </row>
    <row r="142" spans="1:5" ht="24.75">
      <c r="A142" s="11" t="s">
        <v>363</v>
      </c>
      <c r="B142" s="11" t="s">
        <v>233</v>
      </c>
      <c r="C142" s="11" t="s">
        <v>214</v>
      </c>
      <c r="D142" s="11" t="s">
        <v>2798</v>
      </c>
      <c r="E142" s="11">
        <v>1</v>
      </c>
    </row>
    <row r="143" spans="1:5" ht="24.75">
      <c r="A143" s="11" t="s">
        <v>363</v>
      </c>
      <c r="B143" s="11" t="s">
        <v>233</v>
      </c>
      <c r="C143" s="11" t="s">
        <v>214</v>
      </c>
      <c r="D143" s="11" t="s">
        <v>2799</v>
      </c>
      <c r="E143" s="11">
        <v>1</v>
      </c>
    </row>
    <row r="144" spans="1:5" ht="24.75">
      <c r="A144" s="11" t="s">
        <v>363</v>
      </c>
      <c r="B144" s="11" t="s">
        <v>233</v>
      </c>
      <c r="C144" s="11" t="s">
        <v>214</v>
      </c>
      <c r="D144" s="11" t="s">
        <v>2800</v>
      </c>
      <c r="E144" s="11">
        <v>1</v>
      </c>
    </row>
    <row r="145" spans="1:5" ht="24.75">
      <c r="A145" s="11" t="s">
        <v>363</v>
      </c>
      <c r="B145" s="11" t="s">
        <v>233</v>
      </c>
      <c r="C145" s="11" t="s">
        <v>214</v>
      </c>
      <c r="D145" s="11" t="s">
        <v>2801</v>
      </c>
      <c r="E145" s="11">
        <v>1</v>
      </c>
    </row>
    <row r="146" spans="1:5" ht="24.75">
      <c r="A146" s="11" t="s">
        <v>363</v>
      </c>
      <c r="B146" s="11" t="s">
        <v>233</v>
      </c>
      <c r="C146" s="11" t="s">
        <v>214</v>
      </c>
      <c r="D146" s="11" t="s">
        <v>2802</v>
      </c>
      <c r="E146" s="11">
        <v>1</v>
      </c>
    </row>
    <row r="147" spans="1:5" ht="24.75">
      <c r="A147" s="11" t="s">
        <v>363</v>
      </c>
      <c r="B147" s="11" t="s">
        <v>233</v>
      </c>
      <c r="C147" s="11" t="s">
        <v>214</v>
      </c>
      <c r="D147" s="11" t="s">
        <v>2803</v>
      </c>
      <c r="E147" s="11">
        <v>1</v>
      </c>
    </row>
    <row r="148" spans="1:5" ht="24.75">
      <c r="A148" s="11" t="s">
        <v>363</v>
      </c>
      <c r="B148" s="11" t="s">
        <v>233</v>
      </c>
      <c r="C148" s="11" t="s">
        <v>214</v>
      </c>
      <c r="D148" s="11" t="s">
        <v>2804</v>
      </c>
      <c r="E148" s="11">
        <v>1</v>
      </c>
    </row>
    <row r="149" spans="1:5" ht="24.75">
      <c r="A149" s="11" t="s">
        <v>363</v>
      </c>
      <c r="B149" s="11" t="s">
        <v>233</v>
      </c>
      <c r="C149" s="11" t="s">
        <v>214</v>
      </c>
      <c r="D149" s="11" t="s">
        <v>2805</v>
      </c>
      <c r="E149" s="11">
        <v>1</v>
      </c>
    </row>
    <row r="150" spans="1:5" ht="24.75">
      <c r="A150" s="11" t="s">
        <v>363</v>
      </c>
      <c r="B150" s="11" t="s">
        <v>233</v>
      </c>
      <c r="C150" s="11" t="s">
        <v>214</v>
      </c>
      <c r="D150" s="11" t="s">
        <v>2806</v>
      </c>
      <c r="E150" s="11">
        <v>1</v>
      </c>
    </row>
    <row r="151" spans="1:5" ht="24.75">
      <c r="A151" s="11" t="s">
        <v>363</v>
      </c>
      <c r="B151" s="11" t="s">
        <v>233</v>
      </c>
      <c r="C151" s="11" t="s">
        <v>214</v>
      </c>
      <c r="D151" s="11" t="s">
        <v>2807</v>
      </c>
      <c r="E151" s="11">
        <v>1</v>
      </c>
    </row>
    <row r="152" spans="1:5" ht="24.75">
      <c r="A152" s="11" t="s">
        <v>363</v>
      </c>
      <c r="B152" s="11" t="s">
        <v>233</v>
      </c>
      <c r="C152" s="11" t="s">
        <v>214</v>
      </c>
      <c r="D152" s="11" t="s">
        <v>2808</v>
      </c>
      <c r="E152" s="11">
        <v>1</v>
      </c>
    </row>
    <row r="153" spans="1:5" ht="24.75">
      <c r="A153" s="11" t="s">
        <v>363</v>
      </c>
      <c r="B153" s="11" t="s">
        <v>233</v>
      </c>
      <c r="C153" s="11" t="s">
        <v>214</v>
      </c>
      <c r="D153" s="11" t="s">
        <v>2809</v>
      </c>
      <c r="E153" s="11">
        <v>1</v>
      </c>
    </row>
    <row r="154" spans="1:5" ht="24.75">
      <c r="A154" s="11" t="s">
        <v>363</v>
      </c>
      <c r="B154" s="11" t="s">
        <v>233</v>
      </c>
      <c r="C154" s="11" t="s">
        <v>214</v>
      </c>
      <c r="D154" s="11" t="s">
        <v>2810</v>
      </c>
      <c r="E154" s="11">
        <v>1</v>
      </c>
    </row>
    <row r="155" spans="1:5" ht="24.75">
      <c r="A155" s="11" t="s">
        <v>363</v>
      </c>
      <c r="B155" s="11" t="s">
        <v>233</v>
      </c>
      <c r="C155" s="11" t="s">
        <v>214</v>
      </c>
      <c r="D155" s="11" t="s">
        <v>2811</v>
      </c>
      <c r="E155" s="11">
        <v>1</v>
      </c>
    </row>
    <row r="156" spans="1:5" ht="24.75">
      <c r="A156" s="11" t="s">
        <v>363</v>
      </c>
      <c r="B156" s="11" t="s">
        <v>233</v>
      </c>
      <c r="C156" s="11" t="s">
        <v>214</v>
      </c>
      <c r="D156" s="11" t="s">
        <v>2812</v>
      </c>
      <c r="E156" s="11">
        <v>1</v>
      </c>
    </row>
    <row r="157" spans="1:5" ht="24.75">
      <c r="A157" s="11" t="s">
        <v>363</v>
      </c>
      <c r="B157" s="11" t="s">
        <v>233</v>
      </c>
      <c r="C157" s="11" t="s">
        <v>214</v>
      </c>
      <c r="D157" s="11" t="s">
        <v>2813</v>
      </c>
      <c r="E157" s="11">
        <v>1</v>
      </c>
    </row>
    <row r="158" spans="1:5" ht="24.75">
      <c r="A158" s="11" t="s">
        <v>363</v>
      </c>
      <c r="B158" s="11" t="s">
        <v>233</v>
      </c>
      <c r="C158" s="11" t="s">
        <v>214</v>
      </c>
      <c r="D158" s="11" t="s">
        <v>2814</v>
      </c>
      <c r="E158" s="11">
        <v>1</v>
      </c>
    </row>
    <row r="159" spans="1:5" ht="24.75">
      <c r="A159" s="11" t="s">
        <v>363</v>
      </c>
      <c r="B159" s="11" t="s">
        <v>233</v>
      </c>
      <c r="C159" s="11" t="s">
        <v>214</v>
      </c>
      <c r="D159" s="11" t="s">
        <v>2815</v>
      </c>
      <c r="E159" s="11">
        <v>1</v>
      </c>
    </row>
    <row r="160" spans="1:5" ht="24.75">
      <c r="A160" s="11" t="s">
        <v>363</v>
      </c>
      <c r="B160" s="11" t="s">
        <v>233</v>
      </c>
      <c r="C160" s="11" t="s">
        <v>214</v>
      </c>
      <c r="D160" s="11" t="s">
        <v>2816</v>
      </c>
      <c r="E160" s="11">
        <v>1</v>
      </c>
    </row>
    <row r="161" spans="1:5" ht="24.75">
      <c r="A161" s="11" t="s">
        <v>363</v>
      </c>
      <c r="B161" s="11" t="s">
        <v>233</v>
      </c>
      <c r="C161" s="11" t="s">
        <v>214</v>
      </c>
      <c r="D161" s="11" t="s">
        <v>2817</v>
      </c>
      <c r="E161" s="11">
        <v>1</v>
      </c>
    </row>
    <row r="162" spans="1:5" ht="24.75">
      <c r="A162" s="11" t="s">
        <v>363</v>
      </c>
      <c r="B162" s="11" t="s">
        <v>233</v>
      </c>
      <c r="C162" s="11" t="s">
        <v>214</v>
      </c>
      <c r="D162" s="11" t="s">
        <v>2818</v>
      </c>
      <c r="E162" s="11">
        <v>1</v>
      </c>
    </row>
    <row r="163" spans="1:5" ht="24.75">
      <c r="A163" s="11" t="s">
        <v>363</v>
      </c>
      <c r="B163" s="11" t="s">
        <v>233</v>
      </c>
      <c r="C163" s="11" t="s">
        <v>214</v>
      </c>
      <c r="D163" s="11" t="s">
        <v>2819</v>
      </c>
      <c r="E163" s="11">
        <v>1</v>
      </c>
    </row>
    <row r="164" spans="1:5" ht="24.75">
      <c r="A164" s="11" t="s">
        <v>363</v>
      </c>
      <c r="B164" s="11" t="s">
        <v>233</v>
      </c>
      <c r="C164" s="11" t="s">
        <v>214</v>
      </c>
      <c r="D164" s="11" t="s">
        <v>2820</v>
      </c>
      <c r="E164" s="11">
        <v>1</v>
      </c>
    </row>
    <row r="165" spans="1:5" ht="24.75">
      <c r="A165" s="11" t="s">
        <v>363</v>
      </c>
      <c r="B165" s="11" t="s">
        <v>233</v>
      </c>
      <c r="C165" s="11" t="s">
        <v>214</v>
      </c>
      <c r="D165" s="11" t="s">
        <v>2821</v>
      </c>
      <c r="E165" s="11">
        <v>1</v>
      </c>
    </row>
    <row r="166" spans="1:5" ht="24.75">
      <c r="A166" s="11" t="s">
        <v>363</v>
      </c>
      <c r="B166" s="11" t="s">
        <v>233</v>
      </c>
      <c r="C166" s="11" t="s">
        <v>214</v>
      </c>
      <c r="D166" s="11" t="s">
        <v>2822</v>
      </c>
      <c r="E166" s="11">
        <v>1</v>
      </c>
    </row>
    <row r="167" spans="1:5" ht="24.75">
      <c r="A167" s="11" t="s">
        <v>363</v>
      </c>
      <c r="B167" s="11" t="s">
        <v>233</v>
      </c>
      <c r="C167" s="11" t="s">
        <v>214</v>
      </c>
      <c r="D167" s="11" t="s">
        <v>2823</v>
      </c>
      <c r="E167" s="11">
        <v>1</v>
      </c>
    </row>
    <row r="168" spans="1:5" ht="24.75">
      <c r="A168" s="11" t="s">
        <v>363</v>
      </c>
      <c r="B168" s="11" t="s">
        <v>233</v>
      </c>
      <c r="C168" s="11" t="s">
        <v>214</v>
      </c>
      <c r="D168" s="11" t="s">
        <v>2824</v>
      </c>
      <c r="E168" s="11">
        <v>1</v>
      </c>
    </row>
    <row r="169" spans="1:5" ht="24.75">
      <c r="A169" s="11" t="s">
        <v>363</v>
      </c>
      <c r="B169" s="11" t="s">
        <v>233</v>
      </c>
      <c r="C169" s="11" t="s">
        <v>214</v>
      </c>
      <c r="D169" s="11" t="s">
        <v>2825</v>
      </c>
      <c r="E169" s="11">
        <v>1</v>
      </c>
    </row>
    <row r="170" spans="1:5" ht="24.75">
      <c r="A170" s="11" t="s">
        <v>363</v>
      </c>
      <c r="B170" s="11" t="s">
        <v>233</v>
      </c>
      <c r="C170" s="11" t="s">
        <v>214</v>
      </c>
      <c r="D170" s="11" t="s">
        <v>2826</v>
      </c>
      <c r="E170" s="11">
        <v>1</v>
      </c>
    </row>
    <row r="171" spans="1:5" ht="24.75">
      <c r="A171" s="11" t="s">
        <v>363</v>
      </c>
      <c r="B171" s="11" t="s">
        <v>233</v>
      </c>
      <c r="C171" s="11" t="s">
        <v>214</v>
      </c>
      <c r="D171" s="11" t="s">
        <v>2827</v>
      </c>
      <c r="E171" s="11">
        <v>1</v>
      </c>
    </row>
    <row r="172" spans="1:5" ht="24.75">
      <c r="A172" s="11" t="s">
        <v>363</v>
      </c>
      <c r="B172" s="11" t="s">
        <v>233</v>
      </c>
      <c r="C172" s="11" t="s">
        <v>214</v>
      </c>
      <c r="D172" s="11" t="s">
        <v>2828</v>
      </c>
      <c r="E172" s="11">
        <v>1</v>
      </c>
    </row>
    <row r="173" spans="1:5" ht="24.75">
      <c r="A173" s="11" t="s">
        <v>363</v>
      </c>
      <c r="B173" s="11" t="s">
        <v>233</v>
      </c>
      <c r="C173" s="11" t="s">
        <v>214</v>
      </c>
      <c r="D173" s="11" t="s">
        <v>2829</v>
      </c>
      <c r="E173" s="11">
        <v>1</v>
      </c>
    </row>
    <row r="174" spans="1:5" ht="24.75">
      <c r="A174" s="11" t="s">
        <v>363</v>
      </c>
      <c r="B174" s="11" t="s">
        <v>233</v>
      </c>
      <c r="C174" s="11" t="s">
        <v>214</v>
      </c>
      <c r="D174" s="11" t="s">
        <v>2830</v>
      </c>
      <c r="E174" s="11">
        <v>1</v>
      </c>
    </row>
    <row r="175" spans="1:5" ht="24.75">
      <c r="A175" s="11" t="s">
        <v>363</v>
      </c>
      <c r="B175" s="11" t="s">
        <v>233</v>
      </c>
      <c r="C175" s="11" t="s">
        <v>214</v>
      </c>
      <c r="D175" s="11" t="s">
        <v>2831</v>
      </c>
      <c r="E175" s="11">
        <v>1</v>
      </c>
    </row>
    <row r="176" spans="1:5" ht="24.75">
      <c r="A176" s="11" t="s">
        <v>363</v>
      </c>
      <c r="B176" s="11" t="s">
        <v>233</v>
      </c>
      <c r="C176" s="11" t="s">
        <v>214</v>
      </c>
      <c r="D176" s="11" t="s">
        <v>2832</v>
      </c>
      <c r="E176" s="11">
        <v>1</v>
      </c>
    </row>
    <row r="177" spans="1:5" ht="24.75">
      <c r="A177" s="11" t="s">
        <v>363</v>
      </c>
      <c r="B177" s="11" t="s">
        <v>233</v>
      </c>
      <c r="C177" s="11" t="s">
        <v>214</v>
      </c>
      <c r="D177" s="11" t="s">
        <v>2833</v>
      </c>
      <c r="E177" s="11">
        <v>1</v>
      </c>
    </row>
    <row r="178" spans="1:5" ht="24.75">
      <c r="A178" s="11" t="s">
        <v>363</v>
      </c>
      <c r="B178" s="11" t="s">
        <v>233</v>
      </c>
      <c r="C178" s="11" t="s">
        <v>214</v>
      </c>
      <c r="D178" s="11" t="s">
        <v>2834</v>
      </c>
      <c r="E178" s="11">
        <v>1</v>
      </c>
    </row>
    <row r="179" spans="1:5" ht="24.75">
      <c r="A179" s="11" t="s">
        <v>363</v>
      </c>
      <c r="B179" s="11" t="s">
        <v>233</v>
      </c>
      <c r="C179" s="11" t="s">
        <v>214</v>
      </c>
      <c r="D179" s="11" t="s">
        <v>2835</v>
      </c>
      <c r="E179" s="11">
        <v>1</v>
      </c>
    </row>
    <row r="180" spans="1:5" ht="24.75">
      <c r="A180" s="11" t="s">
        <v>363</v>
      </c>
      <c r="B180" s="11" t="s">
        <v>233</v>
      </c>
      <c r="C180" s="11" t="s">
        <v>214</v>
      </c>
      <c r="D180" s="11" t="s">
        <v>2836</v>
      </c>
      <c r="E180" s="11">
        <v>1</v>
      </c>
    </row>
    <row r="181" spans="1:5" ht="24.75">
      <c r="A181" s="11" t="s">
        <v>363</v>
      </c>
      <c r="B181" s="11" t="s">
        <v>233</v>
      </c>
      <c r="C181" s="11" t="s">
        <v>214</v>
      </c>
      <c r="D181" s="11" t="s">
        <v>2837</v>
      </c>
      <c r="E181" s="11">
        <v>1</v>
      </c>
    </row>
    <row r="182" spans="1:5" ht="24.75">
      <c r="A182" s="11" t="s">
        <v>363</v>
      </c>
      <c r="B182" s="11" t="s">
        <v>233</v>
      </c>
      <c r="C182" s="11" t="s">
        <v>214</v>
      </c>
      <c r="D182" s="11" t="s">
        <v>2838</v>
      </c>
      <c r="E182" s="11">
        <v>1</v>
      </c>
    </row>
    <row r="183" spans="1:5" ht="24.75">
      <c r="A183" s="11" t="s">
        <v>363</v>
      </c>
      <c r="B183" s="11" t="s">
        <v>233</v>
      </c>
      <c r="C183" s="11" t="s">
        <v>214</v>
      </c>
      <c r="D183" s="11" t="s">
        <v>2839</v>
      </c>
      <c r="E183" s="11">
        <v>1</v>
      </c>
    </row>
    <row r="184" spans="1:5" ht="24.75">
      <c r="A184" s="11" t="s">
        <v>363</v>
      </c>
      <c r="B184" s="11" t="s">
        <v>233</v>
      </c>
      <c r="C184" s="11" t="s">
        <v>214</v>
      </c>
      <c r="D184" s="11" t="s">
        <v>2840</v>
      </c>
      <c r="E184" s="11">
        <v>1</v>
      </c>
    </row>
    <row r="185" spans="1:5" ht="24.75">
      <c r="A185" s="11" t="s">
        <v>363</v>
      </c>
      <c r="B185" s="11" t="s">
        <v>233</v>
      </c>
      <c r="C185" s="11" t="s">
        <v>214</v>
      </c>
      <c r="D185" s="11" t="s">
        <v>2841</v>
      </c>
      <c r="E185" s="11">
        <v>1</v>
      </c>
    </row>
    <row r="186" spans="1:5" ht="24.75">
      <c r="A186" s="11" t="s">
        <v>363</v>
      </c>
      <c r="B186" s="11" t="s">
        <v>233</v>
      </c>
      <c r="C186" s="11" t="s">
        <v>214</v>
      </c>
      <c r="D186" s="11" t="s">
        <v>2842</v>
      </c>
      <c r="E186" s="11">
        <v>1</v>
      </c>
    </row>
    <row r="187" spans="1:5" ht="24.75">
      <c r="A187" s="11" t="s">
        <v>363</v>
      </c>
      <c r="B187" s="11" t="s">
        <v>233</v>
      </c>
      <c r="C187" s="11" t="s">
        <v>214</v>
      </c>
      <c r="D187" s="11" t="s">
        <v>2843</v>
      </c>
      <c r="E187" s="11">
        <v>1</v>
      </c>
    </row>
    <row r="188" spans="1:5" ht="24.75">
      <c r="A188" s="11" t="s">
        <v>363</v>
      </c>
      <c r="B188" s="11" t="s">
        <v>233</v>
      </c>
      <c r="C188" s="11" t="s">
        <v>214</v>
      </c>
      <c r="D188" s="11" t="s">
        <v>2844</v>
      </c>
      <c r="E188" s="11">
        <v>1</v>
      </c>
    </row>
    <row r="189" spans="1:5" ht="24.75">
      <c r="A189" s="11" t="s">
        <v>363</v>
      </c>
      <c r="B189" s="11" t="s">
        <v>233</v>
      </c>
      <c r="C189" s="11" t="s">
        <v>214</v>
      </c>
      <c r="D189" s="11" t="s">
        <v>2845</v>
      </c>
      <c r="E189" s="11">
        <v>1</v>
      </c>
    </row>
    <row r="190" spans="1:5" ht="24.75">
      <c r="A190" s="11" t="s">
        <v>363</v>
      </c>
      <c r="B190" s="11" t="s">
        <v>233</v>
      </c>
      <c r="C190" s="11" t="s">
        <v>214</v>
      </c>
      <c r="D190" s="11" t="s">
        <v>2846</v>
      </c>
      <c r="E190" s="11">
        <v>1</v>
      </c>
    </row>
    <row r="191" spans="1:5" ht="24.75">
      <c r="A191" s="11" t="s">
        <v>363</v>
      </c>
      <c r="B191" s="11" t="s">
        <v>233</v>
      </c>
      <c r="C191" s="11" t="s">
        <v>214</v>
      </c>
      <c r="D191" s="11" t="s">
        <v>2847</v>
      </c>
      <c r="E191" s="11">
        <v>1</v>
      </c>
    </row>
    <row r="192" spans="1:5" ht="24.75">
      <c r="A192" s="11" t="s">
        <v>363</v>
      </c>
      <c r="B192" s="11" t="s">
        <v>233</v>
      </c>
      <c r="C192" s="11" t="s">
        <v>214</v>
      </c>
      <c r="D192" s="11" t="s">
        <v>2848</v>
      </c>
      <c r="E192" s="11">
        <v>1</v>
      </c>
    </row>
    <row r="193" spans="1:5" ht="24.75">
      <c r="A193" s="11" t="s">
        <v>363</v>
      </c>
      <c r="B193" s="11" t="s">
        <v>233</v>
      </c>
      <c r="C193" s="11" t="s">
        <v>214</v>
      </c>
      <c r="D193" s="11" t="s">
        <v>2849</v>
      </c>
      <c r="E193" s="11">
        <v>1</v>
      </c>
    </row>
    <row r="194" spans="1:5" ht="24.75">
      <c r="A194" s="11" t="s">
        <v>363</v>
      </c>
      <c r="B194" s="11" t="s">
        <v>233</v>
      </c>
      <c r="C194" s="11" t="s">
        <v>214</v>
      </c>
      <c r="D194" s="11" t="s">
        <v>2850</v>
      </c>
      <c r="E194" s="11">
        <v>1</v>
      </c>
    </row>
    <row r="195" spans="1:5" ht="24.75">
      <c r="A195" s="11" t="s">
        <v>363</v>
      </c>
      <c r="B195" s="11" t="s">
        <v>233</v>
      </c>
      <c r="C195" s="11" t="s">
        <v>214</v>
      </c>
      <c r="D195" s="11" t="s">
        <v>2851</v>
      </c>
      <c r="E195" s="11">
        <v>1</v>
      </c>
    </row>
    <row r="196" spans="1:5" ht="24.75">
      <c r="A196" s="11" t="s">
        <v>363</v>
      </c>
      <c r="B196" s="11" t="s">
        <v>233</v>
      </c>
      <c r="C196" s="11" t="s">
        <v>214</v>
      </c>
      <c r="D196" s="11" t="s">
        <v>2852</v>
      </c>
      <c r="E196" s="11">
        <v>1</v>
      </c>
    </row>
    <row r="197" spans="1:5" ht="24.75">
      <c r="A197" s="11" t="s">
        <v>363</v>
      </c>
      <c r="B197" s="11" t="s">
        <v>233</v>
      </c>
      <c r="C197" s="11" t="s">
        <v>214</v>
      </c>
      <c r="D197" s="11" t="s">
        <v>2853</v>
      </c>
      <c r="E197" s="11">
        <v>1</v>
      </c>
    </row>
    <row r="198" spans="1:5" ht="24.75">
      <c r="A198" s="11" t="s">
        <v>363</v>
      </c>
      <c r="B198" s="11" t="s">
        <v>233</v>
      </c>
      <c r="C198" s="11" t="s">
        <v>214</v>
      </c>
      <c r="D198" s="11" t="s">
        <v>2854</v>
      </c>
      <c r="E198" s="11">
        <v>1</v>
      </c>
    </row>
    <row r="199" spans="1:5" ht="24.75">
      <c r="A199" s="11" t="s">
        <v>363</v>
      </c>
      <c r="B199" s="11" t="s">
        <v>233</v>
      </c>
      <c r="C199" s="11" t="s">
        <v>214</v>
      </c>
      <c r="D199" s="11" t="s">
        <v>2855</v>
      </c>
      <c r="E199" s="11">
        <v>1</v>
      </c>
    </row>
    <row r="200" spans="1:5" ht="24.75">
      <c r="A200" s="11" t="s">
        <v>363</v>
      </c>
      <c r="B200" s="11" t="s">
        <v>233</v>
      </c>
      <c r="C200" s="11" t="s">
        <v>214</v>
      </c>
      <c r="D200" s="11" t="s">
        <v>2856</v>
      </c>
      <c r="E200" s="11">
        <v>1</v>
      </c>
    </row>
    <row r="201" spans="1:5" ht="24.75">
      <c r="A201" s="11" t="s">
        <v>363</v>
      </c>
      <c r="B201" s="11" t="s">
        <v>233</v>
      </c>
      <c r="C201" s="11" t="s">
        <v>214</v>
      </c>
      <c r="D201" s="11" t="s">
        <v>2857</v>
      </c>
      <c r="E201" s="11">
        <v>1</v>
      </c>
    </row>
    <row r="202" spans="1:5" ht="24.75">
      <c r="A202" s="11" t="s">
        <v>363</v>
      </c>
      <c r="B202" s="11" t="s">
        <v>233</v>
      </c>
      <c r="C202" s="11" t="s">
        <v>214</v>
      </c>
      <c r="D202" s="11" t="s">
        <v>2858</v>
      </c>
      <c r="E202" s="11">
        <v>1</v>
      </c>
    </row>
    <row r="203" spans="1:5" ht="24.75">
      <c r="A203" s="11" t="s">
        <v>363</v>
      </c>
      <c r="B203" s="11" t="s">
        <v>233</v>
      </c>
      <c r="C203" s="11" t="s">
        <v>214</v>
      </c>
      <c r="D203" s="11" t="s">
        <v>2859</v>
      </c>
      <c r="E203" s="11">
        <v>1</v>
      </c>
    </row>
    <row r="204" spans="1:5" ht="24.75">
      <c r="A204" s="11" t="s">
        <v>363</v>
      </c>
      <c r="B204" s="11" t="s">
        <v>233</v>
      </c>
      <c r="C204" s="11" t="s">
        <v>214</v>
      </c>
      <c r="D204" s="11" t="s">
        <v>2860</v>
      </c>
      <c r="E204" s="11">
        <v>1</v>
      </c>
    </row>
    <row r="205" spans="1:5" ht="24.75">
      <c r="A205" s="11" t="s">
        <v>363</v>
      </c>
      <c r="B205" s="11" t="s">
        <v>233</v>
      </c>
      <c r="C205" s="11" t="s">
        <v>214</v>
      </c>
      <c r="D205" s="11" t="s">
        <v>2861</v>
      </c>
      <c r="E205" s="11">
        <v>1</v>
      </c>
    </row>
    <row r="206" spans="1:5" ht="24.75">
      <c r="A206" s="11" t="s">
        <v>363</v>
      </c>
      <c r="B206" s="11" t="s">
        <v>233</v>
      </c>
      <c r="C206" s="11" t="s">
        <v>214</v>
      </c>
      <c r="D206" s="11" t="s">
        <v>2862</v>
      </c>
      <c r="E206" s="11">
        <v>1</v>
      </c>
    </row>
    <row r="207" spans="1:5" ht="24.75">
      <c r="A207" s="11" t="s">
        <v>363</v>
      </c>
      <c r="B207" s="11" t="s">
        <v>233</v>
      </c>
      <c r="C207" s="11" t="s">
        <v>214</v>
      </c>
      <c r="D207" s="11" t="s">
        <v>2863</v>
      </c>
      <c r="E207" s="11">
        <v>1</v>
      </c>
    </row>
    <row r="208" spans="1:5" ht="24.75">
      <c r="A208" s="11" t="s">
        <v>363</v>
      </c>
      <c r="B208" s="11" t="s">
        <v>233</v>
      </c>
      <c r="C208" s="11" t="s">
        <v>214</v>
      </c>
      <c r="D208" s="11" t="s">
        <v>2864</v>
      </c>
      <c r="E208" s="11">
        <v>1</v>
      </c>
    </row>
    <row r="209" spans="1:5" ht="24.75">
      <c r="A209" s="11" t="s">
        <v>363</v>
      </c>
      <c r="B209" s="11" t="s">
        <v>233</v>
      </c>
      <c r="C209" s="11" t="s">
        <v>214</v>
      </c>
      <c r="D209" s="11" t="s">
        <v>2865</v>
      </c>
      <c r="E209" s="11">
        <v>1</v>
      </c>
    </row>
    <row r="210" spans="1:5" ht="24.75">
      <c r="A210" s="11" t="s">
        <v>363</v>
      </c>
      <c r="B210" s="11" t="s">
        <v>233</v>
      </c>
      <c r="C210" s="11" t="s">
        <v>214</v>
      </c>
      <c r="D210" s="11" t="s">
        <v>2866</v>
      </c>
      <c r="E210" s="11">
        <v>1</v>
      </c>
    </row>
    <row r="211" spans="1:5" ht="24.75">
      <c r="A211" s="11" t="s">
        <v>363</v>
      </c>
      <c r="B211" s="11" t="s">
        <v>233</v>
      </c>
      <c r="C211" s="11" t="s">
        <v>214</v>
      </c>
      <c r="D211" s="11" t="s">
        <v>2867</v>
      </c>
      <c r="E211" s="11">
        <v>1</v>
      </c>
    </row>
    <row r="212" spans="1:5" ht="24.75">
      <c r="A212" s="11" t="s">
        <v>363</v>
      </c>
      <c r="B212" s="11" t="s">
        <v>233</v>
      </c>
      <c r="C212" s="11" t="s">
        <v>214</v>
      </c>
      <c r="D212" s="11" t="s">
        <v>2868</v>
      </c>
      <c r="E212" s="11">
        <v>1</v>
      </c>
    </row>
    <row r="213" spans="1:5" ht="24.75">
      <c r="A213" s="11" t="s">
        <v>363</v>
      </c>
      <c r="B213" s="11" t="s">
        <v>233</v>
      </c>
      <c r="C213" s="11" t="s">
        <v>214</v>
      </c>
      <c r="D213" s="11" t="s">
        <v>2869</v>
      </c>
      <c r="E213" s="11">
        <v>1</v>
      </c>
    </row>
    <row r="214" spans="1:5" ht="24.75">
      <c r="A214" s="11" t="s">
        <v>363</v>
      </c>
      <c r="B214" s="11" t="s">
        <v>233</v>
      </c>
      <c r="C214" s="11" t="s">
        <v>214</v>
      </c>
      <c r="D214" s="11" t="s">
        <v>2870</v>
      </c>
      <c r="E214" s="11">
        <v>1</v>
      </c>
    </row>
    <row r="215" spans="1:5" ht="24.75">
      <c r="A215" s="11" t="s">
        <v>363</v>
      </c>
      <c r="B215" s="11" t="s">
        <v>233</v>
      </c>
      <c r="C215" s="11" t="s">
        <v>214</v>
      </c>
      <c r="D215" s="11" t="s">
        <v>2871</v>
      </c>
      <c r="E215" s="11">
        <v>1</v>
      </c>
    </row>
    <row r="216" spans="1:5" ht="24.75">
      <c r="A216" s="11" t="s">
        <v>363</v>
      </c>
      <c r="B216" s="11" t="s">
        <v>233</v>
      </c>
      <c r="C216" s="11" t="s">
        <v>214</v>
      </c>
      <c r="D216" s="11" t="s">
        <v>2872</v>
      </c>
      <c r="E216" s="11">
        <v>1</v>
      </c>
    </row>
    <row r="217" spans="1:5" ht="24.75">
      <c r="A217" s="11" t="s">
        <v>363</v>
      </c>
      <c r="B217" s="11" t="s">
        <v>233</v>
      </c>
      <c r="C217" s="11" t="s">
        <v>214</v>
      </c>
      <c r="D217" s="11" t="s">
        <v>2873</v>
      </c>
      <c r="E217" s="11">
        <v>1</v>
      </c>
    </row>
    <row r="218" spans="1:5" ht="24.75">
      <c r="A218" s="11" t="s">
        <v>363</v>
      </c>
      <c r="B218" s="11" t="s">
        <v>233</v>
      </c>
      <c r="C218" s="11" t="s">
        <v>214</v>
      </c>
      <c r="D218" s="11" t="s">
        <v>2874</v>
      </c>
      <c r="E218" s="11">
        <v>1</v>
      </c>
    </row>
    <row r="219" spans="1:5" ht="24.75">
      <c r="A219" s="11" t="s">
        <v>363</v>
      </c>
      <c r="B219" s="11" t="s">
        <v>233</v>
      </c>
      <c r="C219" s="11" t="s">
        <v>214</v>
      </c>
      <c r="D219" s="11" t="s">
        <v>2875</v>
      </c>
      <c r="E219" s="11">
        <v>1</v>
      </c>
    </row>
    <row r="220" spans="1:5" ht="24.75">
      <c r="A220" s="11" t="s">
        <v>363</v>
      </c>
      <c r="B220" s="11" t="s">
        <v>233</v>
      </c>
      <c r="C220" s="11" t="s">
        <v>214</v>
      </c>
      <c r="D220" s="11" t="s">
        <v>2876</v>
      </c>
      <c r="E220" s="11">
        <v>1</v>
      </c>
    </row>
    <row r="221" spans="1:5" ht="24.75">
      <c r="A221" s="11" t="s">
        <v>363</v>
      </c>
      <c r="B221" s="11" t="s">
        <v>233</v>
      </c>
      <c r="C221" s="11" t="s">
        <v>214</v>
      </c>
      <c r="D221" s="11" t="s">
        <v>2877</v>
      </c>
      <c r="E221" s="11">
        <v>1</v>
      </c>
    </row>
    <row r="222" spans="1:5" ht="24.75">
      <c r="A222" s="11" t="s">
        <v>363</v>
      </c>
      <c r="B222" s="11" t="s">
        <v>233</v>
      </c>
      <c r="C222" s="11" t="s">
        <v>214</v>
      </c>
      <c r="D222" s="11" t="s">
        <v>2878</v>
      </c>
      <c r="E222" s="11">
        <v>1</v>
      </c>
    </row>
    <row r="223" spans="1:5" ht="24.75">
      <c r="A223" s="11" t="s">
        <v>363</v>
      </c>
      <c r="B223" s="11" t="s">
        <v>233</v>
      </c>
      <c r="C223" s="11" t="s">
        <v>214</v>
      </c>
      <c r="D223" s="11" t="s">
        <v>2879</v>
      </c>
      <c r="E223" s="11">
        <v>1</v>
      </c>
    </row>
    <row r="224" spans="1:5" ht="24.75">
      <c r="A224" s="11" t="s">
        <v>363</v>
      </c>
      <c r="B224" s="11" t="s">
        <v>233</v>
      </c>
      <c r="C224" s="11" t="s">
        <v>214</v>
      </c>
      <c r="D224" s="11" t="s">
        <v>2880</v>
      </c>
      <c r="E224" s="11">
        <v>1</v>
      </c>
    </row>
    <row r="225" spans="1:5" ht="24.75">
      <c r="A225" s="11" t="s">
        <v>363</v>
      </c>
      <c r="B225" s="11" t="s">
        <v>233</v>
      </c>
      <c r="C225" s="11" t="s">
        <v>214</v>
      </c>
      <c r="D225" s="11" t="s">
        <v>2881</v>
      </c>
      <c r="E225" s="11">
        <v>1</v>
      </c>
    </row>
    <row r="226" spans="1:5" ht="24.75">
      <c r="A226" s="11" t="s">
        <v>363</v>
      </c>
      <c r="B226" s="11" t="s">
        <v>233</v>
      </c>
      <c r="C226" s="11" t="s">
        <v>214</v>
      </c>
      <c r="D226" s="11" t="s">
        <v>2882</v>
      </c>
      <c r="E226" s="11">
        <v>1</v>
      </c>
    </row>
    <row r="227" spans="1:5" ht="24.75">
      <c r="A227" s="11" t="s">
        <v>363</v>
      </c>
      <c r="B227" s="11" t="s">
        <v>233</v>
      </c>
      <c r="C227" s="11" t="s">
        <v>214</v>
      </c>
      <c r="D227" s="11" t="s">
        <v>2883</v>
      </c>
      <c r="E227" s="11">
        <v>1</v>
      </c>
    </row>
    <row r="228" spans="1:5" ht="24.75">
      <c r="A228" s="11" t="s">
        <v>363</v>
      </c>
      <c r="B228" s="11" t="s">
        <v>233</v>
      </c>
      <c r="C228" s="11" t="s">
        <v>214</v>
      </c>
      <c r="D228" s="11" t="s">
        <v>2884</v>
      </c>
      <c r="E228" s="11">
        <v>1</v>
      </c>
    </row>
    <row r="229" spans="1:5" ht="24.75">
      <c r="A229" s="11" t="s">
        <v>363</v>
      </c>
      <c r="B229" s="11" t="s">
        <v>233</v>
      </c>
      <c r="C229" s="11" t="s">
        <v>214</v>
      </c>
      <c r="D229" s="11" t="s">
        <v>2885</v>
      </c>
      <c r="E229" s="11">
        <v>1</v>
      </c>
    </row>
    <row r="230" spans="1:5" ht="24.75">
      <c r="A230" s="11" t="s">
        <v>363</v>
      </c>
      <c r="B230" s="11" t="s">
        <v>233</v>
      </c>
      <c r="C230" s="11" t="s">
        <v>214</v>
      </c>
      <c r="D230" s="11" t="s">
        <v>2886</v>
      </c>
      <c r="E230" s="11">
        <v>1</v>
      </c>
    </row>
    <row r="231" spans="1:5" ht="24.75">
      <c r="A231" s="11" t="s">
        <v>363</v>
      </c>
      <c r="B231" s="11" t="s">
        <v>233</v>
      </c>
      <c r="C231" s="11" t="s">
        <v>214</v>
      </c>
      <c r="D231" s="11" t="s">
        <v>2887</v>
      </c>
      <c r="E231" s="11">
        <v>1</v>
      </c>
    </row>
    <row r="232" spans="1:5" ht="24.75">
      <c r="A232" s="11" t="s">
        <v>363</v>
      </c>
      <c r="B232" s="11" t="s">
        <v>233</v>
      </c>
      <c r="C232" s="11" t="s">
        <v>214</v>
      </c>
      <c r="D232" s="11" t="s">
        <v>2888</v>
      </c>
      <c r="E232" s="11">
        <v>1</v>
      </c>
    </row>
    <row r="233" spans="1:5" ht="24.75">
      <c r="A233" s="11" t="s">
        <v>363</v>
      </c>
      <c r="B233" s="11" t="s">
        <v>233</v>
      </c>
      <c r="C233" s="11" t="s">
        <v>214</v>
      </c>
      <c r="D233" s="11" t="s">
        <v>2889</v>
      </c>
      <c r="E233" s="11">
        <v>1</v>
      </c>
    </row>
    <row r="234" spans="1:5" ht="24.75">
      <c r="A234" s="11" t="s">
        <v>363</v>
      </c>
      <c r="B234" s="11" t="s">
        <v>233</v>
      </c>
      <c r="C234" s="11" t="s">
        <v>214</v>
      </c>
      <c r="D234" s="11" t="s">
        <v>2890</v>
      </c>
      <c r="E234" s="11">
        <v>1</v>
      </c>
    </row>
    <row r="235" spans="1:5" ht="24.75">
      <c r="A235" s="11" t="s">
        <v>363</v>
      </c>
      <c r="B235" s="11" t="s">
        <v>233</v>
      </c>
      <c r="C235" s="11" t="s">
        <v>214</v>
      </c>
      <c r="D235" s="11" t="s">
        <v>2891</v>
      </c>
      <c r="E235" s="11">
        <v>1</v>
      </c>
    </row>
    <row r="236" spans="1:5" ht="24.75">
      <c r="A236" s="11" t="s">
        <v>363</v>
      </c>
      <c r="B236" s="11" t="s">
        <v>233</v>
      </c>
      <c r="C236" s="11" t="s">
        <v>214</v>
      </c>
      <c r="D236" s="11" t="s">
        <v>2892</v>
      </c>
      <c r="E236" s="11">
        <v>1</v>
      </c>
    </row>
    <row r="237" spans="1:5" ht="24.75">
      <c r="A237" s="11" t="s">
        <v>363</v>
      </c>
      <c r="B237" s="11" t="s">
        <v>233</v>
      </c>
      <c r="C237" s="11" t="s">
        <v>214</v>
      </c>
      <c r="D237" s="11" t="s">
        <v>2893</v>
      </c>
      <c r="E237" s="11">
        <v>1</v>
      </c>
    </row>
    <row r="238" spans="1:5" ht="24.75">
      <c r="A238" s="11" t="s">
        <v>363</v>
      </c>
      <c r="B238" s="11" t="s">
        <v>233</v>
      </c>
      <c r="C238" s="11" t="s">
        <v>214</v>
      </c>
      <c r="D238" s="11" t="s">
        <v>2894</v>
      </c>
      <c r="E238" s="11">
        <v>1</v>
      </c>
    </row>
    <row r="239" spans="1:5" ht="24.75">
      <c r="A239" s="11" t="s">
        <v>363</v>
      </c>
      <c r="B239" s="11" t="s">
        <v>233</v>
      </c>
      <c r="C239" s="11" t="s">
        <v>214</v>
      </c>
      <c r="D239" s="11" t="s">
        <v>2895</v>
      </c>
      <c r="E239" s="11">
        <v>1</v>
      </c>
    </row>
    <row r="240" spans="1:5" ht="24.75">
      <c r="A240" s="11" t="s">
        <v>363</v>
      </c>
      <c r="B240" s="11" t="s">
        <v>233</v>
      </c>
      <c r="C240" s="11" t="s">
        <v>214</v>
      </c>
      <c r="D240" s="11" t="s">
        <v>2896</v>
      </c>
      <c r="E240" s="11">
        <v>1</v>
      </c>
    </row>
    <row r="241" spans="1:5" ht="24.75">
      <c r="A241" s="11" t="s">
        <v>363</v>
      </c>
      <c r="B241" s="11" t="s">
        <v>233</v>
      </c>
      <c r="C241" s="11" t="s">
        <v>214</v>
      </c>
      <c r="D241" s="11" t="s">
        <v>2897</v>
      </c>
      <c r="E241" s="11">
        <v>1</v>
      </c>
    </row>
    <row r="242" spans="1:5" ht="24.75">
      <c r="A242" s="11" t="s">
        <v>363</v>
      </c>
      <c r="B242" s="11" t="s">
        <v>233</v>
      </c>
      <c r="C242" s="11" t="s">
        <v>214</v>
      </c>
      <c r="D242" s="11" t="s">
        <v>2898</v>
      </c>
      <c r="E242" s="11">
        <v>1</v>
      </c>
    </row>
    <row r="243" spans="1:5" ht="24.75">
      <c r="A243" s="11" t="s">
        <v>363</v>
      </c>
      <c r="B243" s="11" t="s">
        <v>233</v>
      </c>
      <c r="C243" s="11" t="s">
        <v>214</v>
      </c>
      <c r="D243" s="11" t="s">
        <v>2899</v>
      </c>
      <c r="E243" s="11">
        <v>1</v>
      </c>
    </row>
    <row r="244" spans="1:5" ht="24.75">
      <c r="A244" s="11" t="s">
        <v>363</v>
      </c>
      <c r="B244" s="11" t="s">
        <v>233</v>
      </c>
      <c r="C244" s="11" t="s">
        <v>214</v>
      </c>
      <c r="D244" s="11" t="s">
        <v>2900</v>
      </c>
      <c r="E244" s="11">
        <v>1</v>
      </c>
    </row>
    <row r="245" spans="1:5" ht="24.75">
      <c r="A245" s="11" t="s">
        <v>363</v>
      </c>
      <c r="B245" s="11" t="s">
        <v>233</v>
      </c>
      <c r="C245" s="11" t="s">
        <v>214</v>
      </c>
      <c r="D245" s="11" t="s">
        <v>2901</v>
      </c>
      <c r="E245" s="11">
        <v>1</v>
      </c>
    </row>
    <row r="246" spans="1:5" ht="24.75">
      <c r="A246" s="11" t="s">
        <v>363</v>
      </c>
      <c r="B246" s="11" t="s">
        <v>233</v>
      </c>
      <c r="C246" s="11" t="s">
        <v>214</v>
      </c>
      <c r="D246" s="11" t="s">
        <v>2902</v>
      </c>
      <c r="E246" s="11">
        <v>1</v>
      </c>
    </row>
    <row r="247" spans="1:5" ht="24.75">
      <c r="A247" s="11" t="s">
        <v>363</v>
      </c>
      <c r="B247" s="11" t="s">
        <v>233</v>
      </c>
      <c r="C247" s="11" t="s">
        <v>214</v>
      </c>
      <c r="D247" s="11" t="s">
        <v>2903</v>
      </c>
      <c r="E247" s="11">
        <v>1</v>
      </c>
    </row>
    <row r="248" spans="1:5" ht="24.75">
      <c r="A248" s="11" t="s">
        <v>363</v>
      </c>
      <c r="B248" s="11" t="s">
        <v>233</v>
      </c>
      <c r="C248" s="11" t="s">
        <v>214</v>
      </c>
      <c r="D248" s="11" t="s">
        <v>2904</v>
      </c>
      <c r="E248" s="11">
        <v>1</v>
      </c>
    </row>
    <row r="249" spans="1:5" ht="24.75">
      <c r="A249" s="11" t="s">
        <v>363</v>
      </c>
      <c r="B249" s="11" t="s">
        <v>233</v>
      </c>
      <c r="C249" s="11" t="s">
        <v>214</v>
      </c>
      <c r="D249" s="11" t="s">
        <v>2905</v>
      </c>
      <c r="E249" s="11">
        <v>1</v>
      </c>
    </row>
    <row r="250" spans="1:5" ht="24.75">
      <c r="A250" s="11" t="s">
        <v>363</v>
      </c>
      <c r="B250" s="11" t="s">
        <v>233</v>
      </c>
      <c r="C250" s="11" t="s">
        <v>214</v>
      </c>
      <c r="D250" s="11" t="s">
        <v>2906</v>
      </c>
      <c r="E250" s="11">
        <v>1</v>
      </c>
    </row>
    <row r="251" spans="1:5" ht="24.75">
      <c r="A251" s="11" t="s">
        <v>363</v>
      </c>
      <c r="B251" s="11" t="s">
        <v>233</v>
      </c>
      <c r="C251" s="11" t="s">
        <v>214</v>
      </c>
      <c r="D251" s="11" t="s">
        <v>2907</v>
      </c>
      <c r="E251" s="11">
        <v>1</v>
      </c>
    </row>
    <row r="252" spans="1:5">
      <c r="A252" s="1" t="s">
        <v>207</v>
      </c>
      <c r="B252" s="1" t="s">
        <v>207</v>
      </c>
      <c r="C252" s="1">
        <f>SUBTOTAL(103,Elements132361[Elemento])</f>
        <v>245</v>
      </c>
      <c r="D252" s="1" t="s">
        <v>207</v>
      </c>
      <c r="E252" s="1">
        <f>SUBTOTAL(109,Elements132361[Totais:])</f>
        <v>245</v>
      </c>
    </row>
  </sheetData>
  <mergeCells count="3">
    <mergeCell ref="A1:E2"/>
    <mergeCell ref="A4:E4"/>
    <mergeCell ref="A5:E5"/>
  </mergeCells>
  <hyperlinks>
    <hyperlink ref="A1" location="'13.2.36'!A1" display="CURVA 90º SOLDAVEL,COM DIAMETRO DE 25MM.FORNECIMENTO" xr:uid="{00000000-0004-0000-5700-000000000000}"/>
    <hyperlink ref="B1" location="'13.2.36'!A1" display="CURVA 90º SOLDAVEL,COM DIAMETRO DE 25MM.FORNECIMENTO" xr:uid="{00000000-0004-0000-5700-000001000000}"/>
    <hyperlink ref="C1" location="'13.2.36'!A1" display="CURVA 90º SOLDAVEL,COM DIAMETRO DE 25MM.FORNECIMENTO" xr:uid="{00000000-0004-0000-5700-000002000000}"/>
    <hyperlink ref="D1" location="'13.2.36'!A1" display="CURVA 90º SOLDAVEL,COM DIAMETRO DE 25MM.FORNECIMENTO" xr:uid="{00000000-0004-0000-5700-000003000000}"/>
    <hyperlink ref="E1" location="'13.2.36'!A1" display="CURVA 90º SOLDAVEL,COM DIAMETRO DE 25MM.FORNECIMENTO" xr:uid="{00000000-0004-0000-5700-000004000000}"/>
    <hyperlink ref="A2" location="'13.2.36'!A1" display="CURVA 90º SOLDAVEL,COM DIAMETRO DE 25MM.FORNECIMENTO" xr:uid="{00000000-0004-0000-5700-000005000000}"/>
    <hyperlink ref="B2" location="'13.2.36'!A1" display="CURVA 90º SOLDAVEL,COM DIAMETRO DE 25MM.FORNECIMENTO" xr:uid="{00000000-0004-0000-5700-000006000000}"/>
    <hyperlink ref="C2" location="'13.2.36'!A1" display="CURVA 90º SOLDAVEL,COM DIAMETRO DE 25MM.FORNECIMENTO" xr:uid="{00000000-0004-0000-5700-000007000000}"/>
    <hyperlink ref="D2" location="'13.2.36'!A1" display="CURVA 90º SOLDAVEL,COM DIAMETRO DE 25MM.FORNECIMENTO" xr:uid="{00000000-0004-0000-5700-000008000000}"/>
    <hyperlink ref="E2" location="'13.2.36'!A1" display="CURVA 90º SOLDAVEL,COM DIAMETRO DE 25MM.FORNECIMENTO" xr:uid="{00000000-0004-0000-5700-000009000000}"/>
    <hyperlink ref="A4" location="'13.2.36'!A1" display="Conexões de tubo" xr:uid="{00000000-0004-0000-5700-00000A000000}"/>
    <hyperlink ref="B4" location="'13.2.36'!A1" display="Conexões de tubo" xr:uid="{00000000-0004-0000-5700-00000B000000}"/>
    <hyperlink ref="C4" location="'13.2.36'!A1" display="Conexões de tubo" xr:uid="{00000000-0004-0000-5700-00000C000000}"/>
    <hyperlink ref="D4" location="'13.2.36'!A1" display="Conexões de tubo" xr:uid="{00000000-0004-0000-5700-00000D000000}"/>
    <hyperlink ref="E4" location="'13.2.36'!A1" display="Conexões de tubo" xr:uid="{00000000-0004-0000-5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800-000000000000}">
  <dimension ref="A1:E91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154</v>
      </c>
      <c r="B1" s="23" t="s">
        <v>154</v>
      </c>
      <c r="C1" s="23" t="s">
        <v>154</v>
      </c>
      <c r="D1" s="23" t="s">
        <v>154</v>
      </c>
      <c r="E1" s="23" t="s">
        <v>154</v>
      </c>
    </row>
    <row r="2" spans="1:5">
      <c r="A2" s="23" t="s">
        <v>154</v>
      </c>
      <c r="B2" s="23" t="s">
        <v>154</v>
      </c>
      <c r="C2" s="23" t="s">
        <v>154</v>
      </c>
      <c r="D2" s="23" t="s">
        <v>154</v>
      </c>
      <c r="E2" s="23" t="s">
        <v>154</v>
      </c>
    </row>
    <row r="4" spans="1:5">
      <c r="A4" s="18" t="s">
        <v>269</v>
      </c>
      <c r="B4" s="18" t="s">
        <v>269</v>
      </c>
      <c r="C4" s="18" t="s">
        <v>269</v>
      </c>
      <c r="D4" s="18" t="s">
        <v>269</v>
      </c>
      <c r="E4" s="18" t="s">
        <v>269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2908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2909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2910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2911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2912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2913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214</v>
      </c>
      <c r="D13" s="11" t="s">
        <v>2914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214</v>
      </c>
      <c r="D14" s="11" t="s">
        <v>2915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214</v>
      </c>
      <c r="D15" s="11" t="s">
        <v>2916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214</v>
      </c>
      <c r="D16" s="11" t="s">
        <v>2917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214</v>
      </c>
      <c r="D17" s="11" t="s">
        <v>2918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214</v>
      </c>
      <c r="D18" s="11" t="s">
        <v>2919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214</v>
      </c>
      <c r="D19" s="11" t="s">
        <v>2920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214</v>
      </c>
      <c r="D20" s="11" t="s">
        <v>2921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214</v>
      </c>
      <c r="D21" s="11" t="s">
        <v>2922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214</v>
      </c>
      <c r="D22" s="11" t="s">
        <v>2923</v>
      </c>
      <c r="E22" s="11">
        <v>1</v>
      </c>
    </row>
    <row r="23" spans="1:5" ht="24.75">
      <c r="A23" s="11" t="s">
        <v>363</v>
      </c>
      <c r="B23" s="11" t="s">
        <v>233</v>
      </c>
      <c r="C23" s="11" t="s">
        <v>214</v>
      </c>
      <c r="D23" s="11" t="s">
        <v>2924</v>
      </c>
      <c r="E23" s="11">
        <v>1</v>
      </c>
    </row>
    <row r="24" spans="1:5" ht="24.75">
      <c r="A24" s="11" t="s">
        <v>363</v>
      </c>
      <c r="B24" s="11" t="s">
        <v>233</v>
      </c>
      <c r="C24" s="11" t="s">
        <v>214</v>
      </c>
      <c r="D24" s="11" t="s">
        <v>2925</v>
      </c>
      <c r="E24" s="11">
        <v>1</v>
      </c>
    </row>
    <row r="25" spans="1:5" ht="24.75">
      <c r="A25" s="11" t="s">
        <v>363</v>
      </c>
      <c r="B25" s="11" t="s">
        <v>233</v>
      </c>
      <c r="C25" s="11" t="s">
        <v>214</v>
      </c>
      <c r="D25" s="11" t="s">
        <v>2926</v>
      </c>
      <c r="E25" s="11">
        <v>1</v>
      </c>
    </row>
    <row r="26" spans="1:5" ht="24.75">
      <c r="A26" s="11" t="s">
        <v>363</v>
      </c>
      <c r="B26" s="11" t="s">
        <v>233</v>
      </c>
      <c r="C26" s="11" t="s">
        <v>214</v>
      </c>
      <c r="D26" s="11" t="s">
        <v>2927</v>
      </c>
      <c r="E26" s="11">
        <v>1</v>
      </c>
    </row>
    <row r="27" spans="1:5" ht="24.75">
      <c r="A27" s="11" t="s">
        <v>363</v>
      </c>
      <c r="B27" s="11" t="s">
        <v>233</v>
      </c>
      <c r="C27" s="11" t="s">
        <v>214</v>
      </c>
      <c r="D27" s="11" t="s">
        <v>2928</v>
      </c>
      <c r="E27" s="11">
        <v>1</v>
      </c>
    </row>
    <row r="28" spans="1:5" ht="24.75">
      <c r="A28" s="11" t="s">
        <v>363</v>
      </c>
      <c r="B28" s="11" t="s">
        <v>233</v>
      </c>
      <c r="C28" s="11" t="s">
        <v>214</v>
      </c>
      <c r="D28" s="11" t="s">
        <v>2929</v>
      </c>
      <c r="E28" s="11">
        <v>1</v>
      </c>
    </row>
    <row r="29" spans="1:5" ht="24.75">
      <c r="A29" s="11" t="s">
        <v>363</v>
      </c>
      <c r="B29" s="11" t="s">
        <v>233</v>
      </c>
      <c r="C29" s="11" t="s">
        <v>214</v>
      </c>
      <c r="D29" s="11" t="s">
        <v>2930</v>
      </c>
      <c r="E29" s="11">
        <v>1</v>
      </c>
    </row>
    <row r="30" spans="1:5" ht="24.75">
      <c r="A30" s="11" t="s">
        <v>363</v>
      </c>
      <c r="B30" s="11" t="s">
        <v>233</v>
      </c>
      <c r="C30" s="11" t="s">
        <v>214</v>
      </c>
      <c r="D30" s="11" t="s">
        <v>2931</v>
      </c>
      <c r="E30" s="11">
        <v>1</v>
      </c>
    </row>
    <row r="31" spans="1:5" ht="24.75">
      <c r="A31" s="11" t="s">
        <v>363</v>
      </c>
      <c r="B31" s="11" t="s">
        <v>233</v>
      </c>
      <c r="C31" s="11" t="s">
        <v>214</v>
      </c>
      <c r="D31" s="11" t="s">
        <v>2932</v>
      </c>
      <c r="E31" s="11">
        <v>1</v>
      </c>
    </row>
    <row r="32" spans="1:5" ht="24.75">
      <c r="A32" s="11" t="s">
        <v>363</v>
      </c>
      <c r="B32" s="11" t="s">
        <v>233</v>
      </c>
      <c r="C32" s="11" t="s">
        <v>214</v>
      </c>
      <c r="D32" s="11" t="s">
        <v>2933</v>
      </c>
      <c r="E32" s="11">
        <v>1</v>
      </c>
    </row>
    <row r="33" spans="1:5" ht="24.75">
      <c r="A33" s="11" t="s">
        <v>363</v>
      </c>
      <c r="B33" s="11" t="s">
        <v>233</v>
      </c>
      <c r="C33" s="11" t="s">
        <v>214</v>
      </c>
      <c r="D33" s="11" t="s">
        <v>2934</v>
      </c>
      <c r="E33" s="11">
        <v>1</v>
      </c>
    </row>
    <row r="34" spans="1:5" ht="24.75">
      <c r="A34" s="11" t="s">
        <v>363</v>
      </c>
      <c r="B34" s="11" t="s">
        <v>233</v>
      </c>
      <c r="C34" s="11" t="s">
        <v>214</v>
      </c>
      <c r="D34" s="11" t="s">
        <v>2935</v>
      </c>
      <c r="E34" s="11">
        <v>1</v>
      </c>
    </row>
    <row r="35" spans="1:5" ht="24.75">
      <c r="A35" s="11" t="s">
        <v>363</v>
      </c>
      <c r="B35" s="11" t="s">
        <v>233</v>
      </c>
      <c r="C35" s="11" t="s">
        <v>214</v>
      </c>
      <c r="D35" s="11" t="s">
        <v>2936</v>
      </c>
      <c r="E35" s="11">
        <v>1</v>
      </c>
    </row>
    <row r="36" spans="1:5" ht="24.75">
      <c r="A36" s="11" t="s">
        <v>363</v>
      </c>
      <c r="B36" s="11" t="s">
        <v>233</v>
      </c>
      <c r="C36" s="11" t="s">
        <v>214</v>
      </c>
      <c r="D36" s="11" t="s">
        <v>2937</v>
      </c>
      <c r="E36" s="11">
        <v>1</v>
      </c>
    </row>
    <row r="37" spans="1:5" ht="24.75">
      <c r="A37" s="11" t="s">
        <v>363</v>
      </c>
      <c r="B37" s="11" t="s">
        <v>233</v>
      </c>
      <c r="C37" s="11" t="s">
        <v>214</v>
      </c>
      <c r="D37" s="11" t="s">
        <v>2938</v>
      </c>
      <c r="E37" s="11">
        <v>1</v>
      </c>
    </row>
    <row r="38" spans="1:5" ht="24.75">
      <c r="A38" s="11" t="s">
        <v>363</v>
      </c>
      <c r="B38" s="11" t="s">
        <v>233</v>
      </c>
      <c r="C38" s="11" t="s">
        <v>214</v>
      </c>
      <c r="D38" s="11" t="s">
        <v>2939</v>
      </c>
      <c r="E38" s="11">
        <v>1</v>
      </c>
    </row>
    <row r="39" spans="1:5" ht="24.75">
      <c r="A39" s="11" t="s">
        <v>363</v>
      </c>
      <c r="B39" s="11" t="s">
        <v>233</v>
      </c>
      <c r="C39" s="11" t="s">
        <v>214</v>
      </c>
      <c r="D39" s="11" t="s">
        <v>2940</v>
      </c>
      <c r="E39" s="11">
        <v>1</v>
      </c>
    </row>
    <row r="40" spans="1:5" ht="24.75">
      <c r="A40" s="11" t="s">
        <v>363</v>
      </c>
      <c r="B40" s="11" t="s">
        <v>233</v>
      </c>
      <c r="C40" s="11" t="s">
        <v>214</v>
      </c>
      <c r="D40" s="11" t="s">
        <v>2941</v>
      </c>
      <c r="E40" s="11">
        <v>1</v>
      </c>
    </row>
    <row r="41" spans="1:5" ht="24.75">
      <c r="A41" s="11" t="s">
        <v>363</v>
      </c>
      <c r="B41" s="11" t="s">
        <v>233</v>
      </c>
      <c r="C41" s="11" t="s">
        <v>214</v>
      </c>
      <c r="D41" s="11" t="s">
        <v>2942</v>
      </c>
      <c r="E41" s="11">
        <v>1</v>
      </c>
    </row>
    <row r="42" spans="1:5" ht="24.75">
      <c r="A42" s="11" t="s">
        <v>363</v>
      </c>
      <c r="B42" s="11" t="s">
        <v>233</v>
      </c>
      <c r="C42" s="11" t="s">
        <v>214</v>
      </c>
      <c r="D42" s="11" t="s">
        <v>2943</v>
      </c>
      <c r="E42" s="11">
        <v>1</v>
      </c>
    </row>
    <row r="43" spans="1:5" ht="24.75">
      <c r="A43" s="11" t="s">
        <v>363</v>
      </c>
      <c r="B43" s="11" t="s">
        <v>233</v>
      </c>
      <c r="C43" s="11" t="s">
        <v>214</v>
      </c>
      <c r="D43" s="11" t="s">
        <v>2944</v>
      </c>
      <c r="E43" s="11">
        <v>1</v>
      </c>
    </row>
    <row r="44" spans="1:5" ht="24.75">
      <c r="A44" s="11" t="s">
        <v>363</v>
      </c>
      <c r="B44" s="11" t="s">
        <v>233</v>
      </c>
      <c r="C44" s="11" t="s">
        <v>214</v>
      </c>
      <c r="D44" s="11" t="s">
        <v>2945</v>
      </c>
      <c r="E44" s="11">
        <v>1</v>
      </c>
    </row>
    <row r="45" spans="1:5" ht="24.75">
      <c r="A45" s="11" t="s">
        <v>363</v>
      </c>
      <c r="B45" s="11" t="s">
        <v>233</v>
      </c>
      <c r="C45" s="11" t="s">
        <v>214</v>
      </c>
      <c r="D45" s="11" t="s">
        <v>2946</v>
      </c>
      <c r="E45" s="11">
        <v>1</v>
      </c>
    </row>
    <row r="46" spans="1:5" ht="24.75">
      <c r="A46" s="11" t="s">
        <v>363</v>
      </c>
      <c r="B46" s="11" t="s">
        <v>233</v>
      </c>
      <c r="C46" s="11" t="s">
        <v>214</v>
      </c>
      <c r="D46" s="11" t="s">
        <v>2947</v>
      </c>
      <c r="E46" s="11">
        <v>1</v>
      </c>
    </row>
    <row r="47" spans="1:5" ht="24.75">
      <c r="A47" s="11" t="s">
        <v>363</v>
      </c>
      <c r="B47" s="11" t="s">
        <v>233</v>
      </c>
      <c r="C47" s="11" t="s">
        <v>214</v>
      </c>
      <c r="D47" s="11" t="s">
        <v>2948</v>
      </c>
      <c r="E47" s="11">
        <v>1</v>
      </c>
    </row>
    <row r="48" spans="1:5" ht="24.75">
      <c r="A48" s="11" t="s">
        <v>363</v>
      </c>
      <c r="B48" s="11" t="s">
        <v>233</v>
      </c>
      <c r="C48" s="11" t="s">
        <v>214</v>
      </c>
      <c r="D48" s="11" t="s">
        <v>2949</v>
      </c>
      <c r="E48" s="11">
        <v>1</v>
      </c>
    </row>
    <row r="49" spans="1:5" ht="24.75">
      <c r="A49" s="11" t="s">
        <v>363</v>
      </c>
      <c r="B49" s="11" t="s">
        <v>233</v>
      </c>
      <c r="C49" s="11" t="s">
        <v>214</v>
      </c>
      <c r="D49" s="11" t="s">
        <v>2950</v>
      </c>
      <c r="E49" s="11">
        <v>1</v>
      </c>
    </row>
    <row r="50" spans="1:5" ht="24.75">
      <c r="A50" s="11" t="s">
        <v>363</v>
      </c>
      <c r="B50" s="11" t="s">
        <v>233</v>
      </c>
      <c r="C50" s="11" t="s">
        <v>214</v>
      </c>
      <c r="D50" s="11" t="s">
        <v>2951</v>
      </c>
      <c r="E50" s="11">
        <v>1</v>
      </c>
    </row>
    <row r="51" spans="1:5" ht="24.75">
      <c r="A51" s="11" t="s">
        <v>363</v>
      </c>
      <c r="B51" s="11" t="s">
        <v>233</v>
      </c>
      <c r="C51" s="11" t="s">
        <v>214</v>
      </c>
      <c r="D51" s="11" t="s">
        <v>2952</v>
      </c>
      <c r="E51" s="11">
        <v>1</v>
      </c>
    </row>
    <row r="52" spans="1:5" ht="24.75">
      <c r="A52" s="11" t="s">
        <v>363</v>
      </c>
      <c r="B52" s="11" t="s">
        <v>233</v>
      </c>
      <c r="C52" s="11" t="s">
        <v>214</v>
      </c>
      <c r="D52" s="11" t="s">
        <v>2953</v>
      </c>
      <c r="E52" s="11">
        <v>1</v>
      </c>
    </row>
    <row r="53" spans="1:5" ht="24.75">
      <c r="A53" s="11" t="s">
        <v>363</v>
      </c>
      <c r="B53" s="11" t="s">
        <v>233</v>
      </c>
      <c r="C53" s="11" t="s">
        <v>214</v>
      </c>
      <c r="D53" s="11" t="s">
        <v>2954</v>
      </c>
      <c r="E53" s="11">
        <v>1</v>
      </c>
    </row>
    <row r="54" spans="1:5" ht="24.75">
      <c r="A54" s="11" t="s">
        <v>363</v>
      </c>
      <c r="B54" s="11" t="s">
        <v>233</v>
      </c>
      <c r="C54" s="11" t="s">
        <v>214</v>
      </c>
      <c r="D54" s="11" t="s">
        <v>2955</v>
      </c>
      <c r="E54" s="11">
        <v>1</v>
      </c>
    </row>
    <row r="55" spans="1:5" ht="24.75">
      <c r="A55" s="11" t="s">
        <v>363</v>
      </c>
      <c r="B55" s="11" t="s">
        <v>233</v>
      </c>
      <c r="C55" s="11" t="s">
        <v>214</v>
      </c>
      <c r="D55" s="11" t="s">
        <v>2956</v>
      </c>
      <c r="E55" s="11">
        <v>1</v>
      </c>
    </row>
    <row r="56" spans="1:5" ht="24.75">
      <c r="A56" s="11" t="s">
        <v>363</v>
      </c>
      <c r="B56" s="11" t="s">
        <v>233</v>
      </c>
      <c r="C56" s="11" t="s">
        <v>214</v>
      </c>
      <c r="D56" s="11" t="s">
        <v>2957</v>
      </c>
      <c r="E56" s="11">
        <v>1</v>
      </c>
    </row>
    <row r="57" spans="1:5" ht="24.75">
      <c r="A57" s="11" t="s">
        <v>363</v>
      </c>
      <c r="B57" s="11" t="s">
        <v>233</v>
      </c>
      <c r="C57" s="11" t="s">
        <v>214</v>
      </c>
      <c r="D57" s="11" t="s">
        <v>2958</v>
      </c>
      <c r="E57" s="11">
        <v>1</v>
      </c>
    </row>
    <row r="58" spans="1:5" ht="24.75">
      <c r="A58" s="11" t="s">
        <v>363</v>
      </c>
      <c r="B58" s="11" t="s">
        <v>233</v>
      </c>
      <c r="C58" s="11" t="s">
        <v>214</v>
      </c>
      <c r="D58" s="11" t="s">
        <v>2959</v>
      </c>
      <c r="E58" s="11">
        <v>1</v>
      </c>
    </row>
    <row r="59" spans="1:5" ht="24.75">
      <c r="A59" s="11" t="s">
        <v>363</v>
      </c>
      <c r="B59" s="11" t="s">
        <v>233</v>
      </c>
      <c r="C59" s="11" t="s">
        <v>214</v>
      </c>
      <c r="D59" s="11" t="s">
        <v>2960</v>
      </c>
      <c r="E59" s="11">
        <v>1</v>
      </c>
    </row>
    <row r="60" spans="1:5" ht="24.75">
      <c r="A60" s="11" t="s">
        <v>363</v>
      </c>
      <c r="B60" s="11" t="s">
        <v>233</v>
      </c>
      <c r="C60" s="11" t="s">
        <v>214</v>
      </c>
      <c r="D60" s="11" t="s">
        <v>2961</v>
      </c>
      <c r="E60" s="11">
        <v>1</v>
      </c>
    </row>
    <row r="61" spans="1:5" ht="24.75">
      <c r="A61" s="11" t="s">
        <v>363</v>
      </c>
      <c r="B61" s="11" t="s">
        <v>233</v>
      </c>
      <c r="C61" s="11" t="s">
        <v>214</v>
      </c>
      <c r="D61" s="11" t="s">
        <v>2962</v>
      </c>
      <c r="E61" s="11">
        <v>1</v>
      </c>
    </row>
    <row r="62" spans="1:5" ht="24.75">
      <c r="A62" s="11" t="s">
        <v>363</v>
      </c>
      <c r="B62" s="11" t="s">
        <v>233</v>
      </c>
      <c r="C62" s="11" t="s">
        <v>214</v>
      </c>
      <c r="D62" s="11" t="s">
        <v>2963</v>
      </c>
      <c r="E62" s="11">
        <v>1</v>
      </c>
    </row>
    <row r="63" spans="1:5" ht="24.75">
      <c r="A63" s="11" t="s">
        <v>363</v>
      </c>
      <c r="B63" s="11" t="s">
        <v>233</v>
      </c>
      <c r="C63" s="11" t="s">
        <v>214</v>
      </c>
      <c r="D63" s="11" t="s">
        <v>2964</v>
      </c>
      <c r="E63" s="11">
        <v>1</v>
      </c>
    </row>
    <row r="64" spans="1:5" ht="24.75">
      <c r="A64" s="11" t="s">
        <v>363</v>
      </c>
      <c r="B64" s="11" t="s">
        <v>233</v>
      </c>
      <c r="C64" s="11" t="s">
        <v>214</v>
      </c>
      <c r="D64" s="11" t="s">
        <v>2965</v>
      </c>
      <c r="E64" s="11">
        <v>1</v>
      </c>
    </row>
    <row r="65" spans="1:5" ht="24.75">
      <c r="A65" s="11" t="s">
        <v>363</v>
      </c>
      <c r="B65" s="11" t="s">
        <v>233</v>
      </c>
      <c r="C65" s="11" t="s">
        <v>214</v>
      </c>
      <c r="D65" s="11" t="s">
        <v>2966</v>
      </c>
      <c r="E65" s="11">
        <v>1</v>
      </c>
    </row>
    <row r="66" spans="1:5" ht="24.75">
      <c r="A66" s="11" t="s">
        <v>363</v>
      </c>
      <c r="B66" s="11" t="s">
        <v>233</v>
      </c>
      <c r="C66" s="11" t="s">
        <v>214</v>
      </c>
      <c r="D66" s="11" t="s">
        <v>2967</v>
      </c>
      <c r="E66" s="11">
        <v>1</v>
      </c>
    </row>
    <row r="67" spans="1:5" ht="24.75">
      <c r="A67" s="11" t="s">
        <v>363</v>
      </c>
      <c r="B67" s="11" t="s">
        <v>233</v>
      </c>
      <c r="C67" s="11" t="s">
        <v>214</v>
      </c>
      <c r="D67" s="11" t="s">
        <v>2968</v>
      </c>
      <c r="E67" s="11">
        <v>1</v>
      </c>
    </row>
    <row r="68" spans="1:5" ht="24.75">
      <c r="A68" s="11" t="s">
        <v>363</v>
      </c>
      <c r="B68" s="11" t="s">
        <v>233</v>
      </c>
      <c r="C68" s="11" t="s">
        <v>214</v>
      </c>
      <c r="D68" s="11" t="s">
        <v>2969</v>
      </c>
      <c r="E68" s="11">
        <v>1</v>
      </c>
    </row>
    <row r="69" spans="1:5" ht="24.75">
      <c r="A69" s="11" t="s">
        <v>363</v>
      </c>
      <c r="B69" s="11" t="s">
        <v>233</v>
      </c>
      <c r="C69" s="11" t="s">
        <v>214</v>
      </c>
      <c r="D69" s="11" t="s">
        <v>2970</v>
      </c>
      <c r="E69" s="11">
        <v>1</v>
      </c>
    </row>
    <row r="70" spans="1:5" ht="24.75">
      <c r="A70" s="11" t="s">
        <v>363</v>
      </c>
      <c r="B70" s="11" t="s">
        <v>233</v>
      </c>
      <c r="C70" s="11" t="s">
        <v>214</v>
      </c>
      <c r="D70" s="11" t="s">
        <v>2971</v>
      </c>
      <c r="E70" s="11">
        <v>1</v>
      </c>
    </row>
    <row r="71" spans="1:5" ht="24.75">
      <c r="A71" s="11" t="s">
        <v>363</v>
      </c>
      <c r="B71" s="11" t="s">
        <v>233</v>
      </c>
      <c r="C71" s="11" t="s">
        <v>214</v>
      </c>
      <c r="D71" s="11" t="s">
        <v>2972</v>
      </c>
      <c r="E71" s="11">
        <v>1</v>
      </c>
    </row>
    <row r="72" spans="1:5" ht="24.75">
      <c r="A72" s="11" t="s">
        <v>363</v>
      </c>
      <c r="B72" s="11" t="s">
        <v>233</v>
      </c>
      <c r="C72" s="11" t="s">
        <v>214</v>
      </c>
      <c r="D72" s="11" t="s">
        <v>2973</v>
      </c>
      <c r="E72" s="11">
        <v>1</v>
      </c>
    </row>
    <row r="73" spans="1:5" ht="24.75">
      <c r="A73" s="11" t="s">
        <v>363</v>
      </c>
      <c r="B73" s="11" t="s">
        <v>233</v>
      </c>
      <c r="C73" s="11" t="s">
        <v>214</v>
      </c>
      <c r="D73" s="11" t="s">
        <v>2974</v>
      </c>
      <c r="E73" s="11">
        <v>1</v>
      </c>
    </row>
    <row r="74" spans="1:5" ht="24.75">
      <c r="A74" s="11" t="s">
        <v>363</v>
      </c>
      <c r="B74" s="11" t="s">
        <v>233</v>
      </c>
      <c r="C74" s="11" t="s">
        <v>214</v>
      </c>
      <c r="D74" s="11" t="s">
        <v>2975</v>
      </c>
      <c r="E74" s="11">
        <v>1</v>
      </c>
    </row>
    <row r="75" spans="1:5" ht="24.75">
      <c r="A75" s="11" t="s">
        <v>363</v>
      </c>
      <c r="B75" s="11" t="s">
        <v>233</v>
      </c>
      <c r="C75" s="11" t="s">
        <v>214</v>
      </c>
      <c r="D75" s="11" t="s">
        <v>2976</v>
      </c>
      <c r="E75" s="11">
        <v>1</v>
      </c>
    </row>
    <row r="76" spans="1:5" ht="24.75">
      <c r="A76" s="11" t="s">
        <v>363</v>
      </c>
      <c r="B76" s="11" t="s">
        <v>233</v>
      </c>
      <c r="C76" s="11" t="s">
        <v>214</v>
      </c>
      <c r="D76" s="11" t="s">
        <v>2977</v>
      </c>
      <c r="E76" s="11">
        <v>1</v>
      </c>
    </row>
    <row r="77" spans="1:5" ht="24.75">
      <c r="A77" s="11" t="s">
        <v>363</v>
      </c>
      <c r="B77" s="11" t="s">
        <v>233</v>
      </c>
      <c r="C77" s="11" t="s">
        <v>214</v>
      </c>
      <c r="D77" s="11" t="s">
        <v>2978</v>
      </c>
      <c r="E77" s="11">
        <v>1</v>
      </c>
    </row>
    <row r="78" spans="1:5" ht="24.75">
      <c r="A78" s="11" t="s">
        <v>363</v>
      </c>
      <c r="B78" s="11" t="s">
        <v>233</v>
      </c>
      <c r="C78" s="11" t="s">
        <v>214</v>
      </c>
      <c r="D78" s="11" t="s">
        <v>2979</v>
      </c>
      <c r="E78" s="11">
        <v>1</v>
      </c>
    </row>
    <row r="79" spans="1:5" ht="24.75">
      <c r="A79" s="11" t="s">
        <v>363</v>
      </c>
      <c r="B79" s="11" t="s">
        <v>233</v>
      </c>
      <c r="C79" s="11" t="s">
        <v>214</v>
      </c>
      <c r="D79" s="11" t="s">
        <v>2980</v>
      </c>
      <c r="E79" s="11">
        <v>1</v>
      </c>
    </row>
    <row r="80" spans="1:5" ht="24.75">
      <c r="A80" s="11" t="s">
        <v>363</v>
      </c>
      <c r="B80" s="11" t="s">
        <v>233</v>
      </c>
      <c r="C80" s="11" t="s">
        <v>214</v>
      </c>
      <c r="D80" s="11" t="s">
        <v>2981</v>
      </c>
      <c r="E80" s="11">
        <v>1</v>
      </c>
    </row>
    <row r="81" spans="1:5" ht="24.75">
      <c r="A81" s="11" t="s">
        <v>363</v>
      </c>
      <c r="B81" s="11" t="s">
        <v>233</v>
      </c>
      <c r="C81" s="11" t="s">
        <v>214</v>
      </c>
      <c r="D81" s="11" t="s">
        <v>2982</v>
      </c>
      <c r="E81" s="11">
        <v>1</v>
      </c>
    </row>
    <row r="82" spans="1:5" ht="24.75">
      <c r="A82" s="11" t="s">
        <v>363</v>
      </c>
      <c r="B82" s="11" t="s">
        <v>233</v>
      </c>
      <c r="C82" s="11" t="s">
        <v>214</v>
      </c>
      <c r="D82" s="11" t="s">
        <v>2983</v>
      </c>
      <c r="E82" s="11">
        <v>1</v>
      </c>
    </row>
    <row r="83" spans="1:5" ht="24.75">
      <c r="A83" s="11" t="s">
        <v>363</v>
      </c>
      <c r="B83" s="11" t="s">
        <v>233</v>
      </c>
      <c r="C83" s="11" t="s">
        <v>214</v>
      </c>
      <c r="D83" s="11" t="s">
        <v>2984</v>
      </c>
      <c r="E83" s="11">
        <v>1</v>
      </c>
    </row>
    <row r="84" spans="1:5" ht="24.75">
      <c r="A84" s="11" t="s">
        <v>363</v>
      </c>
      <c r="B84" s="11" t="s">
        <v>233</v>
      </c>
      <c r="C84" s="11" t="s">
        <v>214</v>
      </c>
      <c r="D84" s="11" t="s">
        <v>2985</v>
      </c>
      <c r="E84" s="11">
        <v>1</v>
      </c>
    </row>
    <row r="85" spans="1:5" ht="24.75">
      <c r="A85" s="11" t="s">
        <v>363</v>
      </c>
      <c r="B85" s="11" t="s">
        <v>233</v>
      </c>
      <c r="C85" s="11" t="s">
        <v>214</v>
      </c>
      <c r="D85" s="11" t="s">
        <v>2986</v>
      </c>
      <c r="E85" s="11">
        <v>1</v>
      </c>
    </row>
    <row r="86" spans="1:5" ht="24.75">
      <c r="A86" s="11" t="s">
        <v>363</v>
      </c>
      <c r="B86" s="11" t="s">
        <v>233</v>
      </c>
      <c r="C86" s="11" t="s">
        <v>214</v>
      </c>
      <c r="D86" s="11" t="s">
        <v>2987</v>
      </c>
      <c r="E86" s="11">
        <v>1</v>
      </c>
    </row>
    <row r="87" spans="1:5" ht="24.75">
      <c r="A87" s="11" t="s">
        <v>363</v>
      </c>
      <c r="B87" s="11" t="s">
        <v>233</v>
      </c>
      <c r="C87" s="11" t="s">
        <v>214</v>
      </c>
      <c r="D87" s="11" t="s">
        <v>2988</v>
      </c>
      <c r="E87" s="11">
        <v>1</v>
      </c>
    </row>
    <row r="88" spans="1:5" ht="24.75">
      <c r="A88" s="11" t="s">
        <v>363</v>
      </c>
      <c r="B88" s="11" t="s">
        <v>233</v>
      </c>
      <c r="C88" s="11" t="s">
        <v>214</v>
      </c>
      <c r="D88" s="11" t="s">
        <v>2989</v>
      </c>
      <c r="E88" s="11">
        <v>1</v>
      </c>
    </row>
    <row r="89" spans="1:5" ht="24.75">
      <c r="A89" s="11" t="s">
        <v>363</v>
      </c>
      <c r="B89" s="11" t="s">
        <v>233</v>
      </c>
      <c r="C89" s="11" t="s">
        <v>214</v>
      </c>
      <c r="D89" s="11" t="s">
        <v>2990</v>
      </c>
      <c r="E89" s="11">
        <v>1</v>
      </c>
    </row>
    <row r="90" spans="1:5" ht="24.75">
      <c r="A90" s="11" t="s">
        <v>363</v>
      </c>
      <c r="B90" s="11" t="s">
        <v>233</v>
      </c>
      <c r="C90" s="11" t="s">
        <v>214</v>
      </c>
      <c r="D90" s="11" t="s">
        <v>2991</v>
      </c>
      <c r="E90" s="11">
        <v>1</v>
      </c>
    </row>
    <row r="91" spans="1:5">
      <c r="A91" s="1" t="s">
        <v>207</v>
      </c>
      <c r="B91" s="1" t="s">
        <v>207</v>
      </c>
      <c r="C91" s="1">
        <f>SUBTOTAL(103,Elements132371[Elemento])</f>
        <v>84</v>
      </c>
      <c r="D91" s="1" t="s">
        <v>207</v>
      </c>
      <c r="E91" s="1">
        <f>SUBTOTAL(109,Elements132371[Totais:])</f>
        <v>84</v>
      </c>
    </row>
  </sheetData>
  <mergeCells count="3">
    <mergeCell ref="A1:E2"/>
    <mergeCell ref="A4:E4"/>
    <mergeCell ref="A5:E5"/>
  </mergeCells>
  <hyperlinks>
    <hyperlink ref="A1" location="'13.2.37'!A1" display="CURVA 90º SOLDAVEL,COM DIAMETRO DE 50MM.FORNECIMENTO" xr:uid="{00000000-0004-0000-5800-000000000000}"/>
    <hyperlink ref="B1" location="'13.2.37'!A1" display="CURVA 90º SOLDAVEL,COM DIAMETRO DE 50MM.FORNECIMENTO" xr:uid="{00000000-0004-0000-5800-000001000000}"/>
    <hyperlink ref="C1" location="'13.2.37'!A1" display="CURVA 90º SOLDAVEL,COM DIAMETRO DE 50MM.FORNECIMENTO" xr:uid="{00000000-0004-0000-5800-000002000000}"/>
    <hyperlink ref="D1" location="'13.2.37'!A1" display="CURVA 90º SOLDAVEL,COM DIAMETRO DE 50MM.FORNECIMENTO" xr:uid="{00000000-0004-0000-5800-000003000000}"/>
    <hyperlink ref="E1" location="'13.2.37'!A1" display="CURVA 90º SOLDAVEL,COM DIAMETRO DE 50MM.FORNECIMENTO" xr:uid="{00000000-0004-0000-5800-000004000000}"/>
    <hyperlink ref="A2" location="'13.2.37'!A1" display="CURVA 90º SOLDAVEL,COM DIAMETRO DE 50MM.FORNECIMENTO" xr:uid="{00000000-0004-0000-5800-000005000000}"/>
    <hyperlink ref="B2" location="'13.2.37'!A1" display="CURVA 90º SOLDAVEL,COM DIAMETRO DE 50MM.FORNECIMENTO" xr:uid="{00000000-0004-0000-5800-000006000000}"/>
    <hyperlink ref="C2" location="'13.2.37'!A1" display="CURVA 90º SOLDAVEL,COM DIAMETRO DE 50MM.FORNECIMENTO" xr:uid="{00000000-0004-0000-5800-000007000000}"/>
    <hyperlink ref="D2" location="'13.2.37'!A1" display="CURVA 90º SOLDAVEL,COM DIAMETRO DE 50MM.FORNECIMENTO" xr:uid="{00000000-0004-0000-5800-000008000000}"/>
    <hyperlink ref="E2" location="'13.2.37'!A1" display="CURVA 90º SOLDAVEL,COM DIAMETRO DE 50MM.FORNECIMENTO" xr:uid="{00000000-0004-0000-5800-000009000000}"/>
    <hyperlink ref="A4" location="'13.2.37'!A1" display="Conexões de tubo" xr:uid="{00000000-0004-0000-5800-00000A000000}"/>
    <hyperlink ref="B4" location="'13.2.37'!A1" display="Conexões de tubo" xr:uid="{00000000-0004-0000-5800-00000B000000}"/>
    <hyperlink ref="C4" location="'13.2.37'!A1" display="Conexões de tubo" xr:uid="{00000000-0004-0000-5800-00000C000000}"/>
    <hyperlink ref="D4" location="'13.2.37'!A1" display="Conexões de tubo" xr:uid="{00000000-0004-0000-5800-00000D000000}"/>
    <hyperlink ref="E4" location="'13.2.37'!A1" display="Conexões de tubo" xr:uid="{00000000-0004-0000-58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39</v>
      </c>
      <c r="B2" s="6" t="s">
        <v>40</v>
      </c>
      <c r="C2" s="6" t="s">
        <v>14</v>
      </c>
      <c r="D2" s="6" t="s">
        <v>41</v>
      </c>
      <c r="E2" s="6" t="s">
        <v>16</v>
      </c>
      <c r="F2" s="6" t="s">
        <v>244</v>
      </c>
      <c r="G2" s="6">
        <v>123.6</v>
      </c>
      <c r="H2" s="6">
        <v>148.13460000000001</v>
      </c>
      <c r="I2" s="6">
        <v>148.13460000000001</v>
      </c>
    </row>
    <row r="5" spans="1:9">
      <c r="A5" s="16" t="s">
        <v>201</v>
      </c>
      <c r="B5" s="16" t="s">
        <v>201</v>
      </c>
      <c r="C5" s="16" t="s">
        <v>201</v>
      </c>
      <c r="D5" s="16" t="s">
        <v>201</v>
      </c>
      <c r="E5" s="16" t="s">
        <v>201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202</v>
      </c>
      <c r="C7" s="10" t="s">
        <v>203</v>
      </c>
      <c r="D7" s="10" t="s">
        <v>204</v>
      </c>
      <c r="E7" s="10" t="s">
        <v>9</v>
      </c>
    </row>
    <row r="8" spans="1:9">
      <c r="A8" s="11">
        <v>1</v>
      </c>
      <c r="B8" s="11" t="s">
        <v>205</v>
      </c>
      <c r="C8" s="11">
        <v>1</v>
      </c>
      <c r="D8" s="11" t="s">
        <v>239</v>
      </c>
      <c r="E8" s="11">
        <v>1</v>
      </c>
    </row>
    <row r="9" spans="1:9">
      <c r="A9" s="11" t="s">
        <v>207</v>
      </c>
      <c r="B9" s="11" t="s">
        <v>207</v>
      </c>
      <c r="C9" s="11">
        <f>SUBTOTAL(109,Criteria_Summary13.2.7[Elementos])</f>
        <v>1</v>
      </c>
      <c r="D9" s="11" t="s">
        <v>207</v>
      </c>
      <c r="E9" s="11">
        <f>SUBTOTAL(109,Criteria_Summary13.2.7[Total])</f>
        <v>1</v>
      </c>
    </row>
    <row r="10" spans="1:9">
      <c r="A10" s="12" t="s">
        <v>208</v>
      </c>
      <c r="B10" s="12">
        <v>0</v>
      </c>
      <c r="C10" s="13"/>
      <c r="D10" s="13"/>
      <c r="E10" s="12">
        <v>1</v>
      </c>
    </row>
    <row r="13" spans="1:9">
      <c r="A13" s="18" t="s">
        <v>239</v>
      </c>
      <c r="B13" s="18" t="s">
        <v>239</v>
      </c>
      <c r="C13" s="18" t="s">
        <v>239</v>
      </c>
      <c r="D13" s="18" t="s">
        <v>239</v>
      </c>
      <c r="E13" s="18" t="s">
        <v>239</v>
      </c>
    </row>
    <row r="14" spans="1:9">
      <c r="A14" s="19"/>
      <c r="B14" s="19"/>
      <c r="C14" s="19"/>
      <c r="D14" s="19"/>
      <c r="E14" s="19"/>
    </row>
    <row r="15" spans="1:9">
      <c r="A15" s="14" t="s">
        <v>202</v>
      </c>
      <c r="B15" s="14" t="s">
        <v>203</v>
      </c>
      <c r="C15" s="20" t="s">
        <v>209</v>
      </c>
      <c r="D15" s="20" t="s">
        <v>209</v>
      </c>
      <c r="E15" s="14" t="s">
        <v>9</v>
      </c>
    </row>
    <row r="16" spans="1:9">
      <c r="A16" s="11" t="s">
        <v>205</v>
      </c>
      <c r="B16" s="11">
        <v>1</v>
      </c>
      <c r="C16" s="21" t="s">
        <v>240</v>
      </c>
      <c r="D16" s="21" t="s">
        <v>240</v>
      </c>
      <c r="E16" s="11">
        <v>1</v>
      </c>
    </row>
    <row r="18" spans="1:5">
      <c r="A18" s="22" t="s">
        <v>230</v>
      </c>
      <c r="B18" s="22" t="s">
        <v>230</v>
      </c>
      <c r="C18" s="22" t="s">
        <v>230</v>
      </c>
      <c r="D18" s="22" t="s">
        <v>230</v>
      </c>
      <c r="E18" s="22" t="s">
        <v>230</v>
      </c>
    </row>
    <row r="19" spans="1:5">
      <c r="A19" s="20" t="s">
        <v>231</v>
      </c>
      <c r="B19" s="20" t="s">
        <v>231</v>
      </c>
      <c r="C19" s="20" t="s">
        <v>231</v>
      </c>
      <c r="D19" s="14" t="s">
        <v>232</v>
      </c>
      <c r="E19" s="14"/>
    </row>
    <row r="20" spans="1:5">
      <c r="A20" s="11"/>
      <c r="B20" s="11"/>
      <c r="C20" s="11"/>
      <c r="D20" s="11" t="s">
        <v>233</v>
      </c>
      <c r="E20" s="11" t="s">
        <v>215</v>
      </c>
    </row>
    <row r="22" spans="1:5">
      <c r="A22" s="22" t="s">
        <v>211</v>
      </c>
      <c r="B22" s="22" t="s">
        <v>211</v>
      </c>
      <c r="C22" s="22" t="s">
        <v>211</v>
      </c>
      <c r="D22" s="22" t="s">
        <v>211</v>
      </c>
      <c r="E22" s="22" t="s">
        <v>211</v>
      </c>
    </row>
    <row r="23" spans="1:5">
      <c r="A23" s="20" t="s">
        <v>212</v>
      </c>
      <c r="B23" s="14"/>
      <c r="C23" s="14"/>
      <c r="D23" s="14" t="s">
        <v>202</v>
      </c>
      <c r="E23" s="14"/>
    </row>
    <row r="24" spans="1:5">
      <c r="A24" s="21" t="s">
        <v>245</v>
      </c>
      <c r="B24" s="21" t="s">
        <v>245</v>
      </c>
      <c r="C24" s="21" t="s">
        <v>245</v>
      </c>
      <c r="D24" s="11" t="s">
        <v>245</v>
      </c>
      <c r="E24" s="11" t="s">
        <v>215</v>
      </c>
    </row>
    <row r="26" spans="1:5">
      <c r="A26" s="22" t="s">
        <v>216</v>
      </c>
      <c r="B26" s="22" t="s">
        <v>216</v>
      </c>
      <c r="C26" s="22" t="s">
        <v>216</v>
      </c>
      <c r="D26" s="22" t="s">
        <v>216</v>
      </c>
      <c r="E26" s="22" t="s">
        <v>216</v>
      </c>
    </row>
    <row r="27" spans="1:5">
      <c r="A27" s="14" t="s">
        <v>202</v>
      </c>
      <c r="B27" s="14" t="s">
        <v>217</v>
      </c>
      <c r="C27" s="14" t="s">
        <v>218</v>
      </c>
      <c r="D27" s="14" t="s">
        <v>219</v>
      </c>
      <c r="E27" s="14"/>
    </row>
    <row r="28" spans="1:5" ht="48.75">
      <c r="A28" s="11" t="s">
        <v>220</v>
      </c>
      <c r="B28" s="11" t="s">
        <v>221</v>
      </c>
      <c r="C28" s="11" t="s">
        <v>246</v>
      </c>
      <c r="D28" s="11" t="s">
        <v>223</v>
      </c>
      <c r="E28" s="11" t="s">
        <v>224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7" xr:uid="{00000000-0004-0000-0800-000000000000}"/>
    <hyperlink ref="F2" location="'13.2.7E'!A1" display="1" xr:uid="{00000000-0004-0000-0800-000001000000}"/>
    <hyperlink ref="E10" location="'13.2.7E'!A1" display="'13.2.7E'!A1" xr:uid="{00000000-0004-0000-0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900-000000000000}">
  <dimension ref="A1:E3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158</v>
      </c>
      <c r="B1" s="23" t="s">
        <v>158</v>
      </c>
      <c r="C1" s="23" t="s">
        <v>158</v>
      </c>
      <c r="D1" s="23" t="s">
        <v>158</v>
      </c>
      <c r="E1" s="23" t="s">
        <v>158</v>
      </c>
    </row>
    <row r="2" spans="1:5">
      <c r="A2" s="23" t="s">
        <v>158</v>
      </c>
      <c r="B2" s="23" t="s">
        <v>158</v>
      </c>
      <c r="C2" s="23" t="s">
        <v>158</v>
      </c>
      <c r="D2" s="23" t="s">
        <v>158</v>
      </c>
      <c r="E2" s="23" t="s">
        <v>158</v>
      </c>
    </row>
    <row r="4" spans="1:5">
      <c r="A4" s="18" t="s">
        <v>269</v>
      </c>
      <c r="B4" s="18" t="s">
        <v>269</v>
      </c>
      <c r="C4" s="18" t="s">
        <v>269</v>
      </c>
      <c r="D4" s="18" t="s">
        <v>269</v>
      </c>
      <c r="E4" s="18" t="s">
        <v>269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2992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2993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2994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2995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2996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2997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214</v>
      </c>
      <c r="D13" s="11" t="s">
        <v>2998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214</v>
      </c>
      <c r="D14" s="11" t="s">
        <v>2999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214</v>
      </c>
      <c r="D15" s="11" t="s">
        <v>3000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214</v>
      </c>
      <c r="D16" s="11" t="s">
        <v>3001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214</v>
      </c>
      <c r="D17" s="11" t="s">
        <v>3002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214</v>
      </c>
      <c r="D18" s="11" t="s">
        <v>3003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214</v>
      </c>
      <c r="D19" s="11" t="s">
        <v>3004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214</v>
      </c>
      <c r="D20" s="11" t="s">
        <v>3005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214</v>
      </c>
      <c r="D21" s="11" t="s">
        <v>3006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214</v>
      </c>
      <c r="D22" s="11" t="s">
        <v>3007</v>
      </c>
      <c r="E22" s="11">
        <v>1</v>
      </c>
    </row>
    <row r="23" spans="1:5" ht="24.75">
      <c r="A23" s="11" t="s">
        <v>363</v>
      </c>
      <c r="B23" s="11" t="s">
        <v>233</v>
      </c>
      <c r="C23" s="11" t="s">
        <v>214</v>
      </c>
      <c r="D23" s="11" t="s">
        <v>3008</v>
      </c>
      <c r="E23" s="11">
        <v>1</v>
      </c>
    </row>
    <row r="24" spans="1:5" ht="24.75">
      <c r="A24" s="11" t="s">
        <v>363</v>
      </c>
      <c r="B24" s="11" t="s">
        <v>233</v>
      </c>
      <c r="C24" s="11" t="s">
        <v>214</v>
      </c>
      <c r="D24" s="11" t="s">
        <v>3009</v>
      </c>
      <c r="E24" s="11">
        <v>1</v>
      </c>
    </row>
    <row r="25" spans="1:5" ht="24.75">
      <c r="A25" s="11" t="s">
        <v>363</v>
      </c>
      <c r="B25" s="11" t="s">
        <v>233</v>
      </c>
      <c r="C25" s="11" t="s">
        <v>214</v>
      </c>
      <c r="D25" s="11" t="s">
        <v>3010</v>
      </c>
      <c r="E25" s="11">
        <v>1</v>
      </c>
    </row>
    <row r="26" spans="1:5" ht="24.75">
      <c r="A26" s="11" t="s">
        <v>363</v>
      </c>
      <c r="B26" s="11" t="s">
        <v>233</v>
      </c>
      <c r="C26" s="11" t="s">
        <v>214</v>
      </c>
      <c r="D26" s="11" t="s">
        <v>3011</v>
      </c>
      <c r="E26" s="11">
        <v>1</v>
      </c>
    </row>
    <row r="27" spans="1:5" ht="24.75">
      <c r="A27" s="11" t="s">
        <v>363</v>
      </c>
      <c r="B27" s="11" t="s">
        <v>233</v>
      </c>
      <c r="C27" s="11" t="s">
        <v>214</v>
      </c>
      <c r="D27" s="11" t="s">
        <v>3012</v>
      </c>
      <c r="E27" s="11">
        <v>1</v>
      </c>
    </row>
    <row r="28" spans="1:5" ht="24.75">
      <c r="A28" s="11" t="s">
        <v>363</v>
      </c>
      <c r="B28" s="11" t="s">
        <v>233</v>
      </c>
      <c r="C28" s="11" t="s">
        <v>214</v>
      </c>
      <c r="D28" s="11" t="s">
        <v>3013</v>
      </c>
      <c r="E28" s="11">
        <v>1</v>
      </c>
    </row>
    <row r="29" spans="1:5" ht="24.75">
      <c r="A29" s="11" t="s">
        <v>363</v>
      </c>
      <c r="B29" s="11" t="s">
        <v>233</v>
      </c>
      <c r="C29" s="11" t="s">
        <v>214</v>
      </c>
      <c r="D29" s="11" t="s">
        <v>3014</v>
      </c>
      <c r="E29" s="11">
        <v>1</v>
      </c>
    </row>
    <row r="30" spans="1:5">
      <c r="A30" s="1" t="s">
        <v>207</v>
      </c>
      <c r="B30" s="1" t="s">
        <v>207</v>
      </c>
      <c r="C30" s="1">
        <f>SUBTOTAL(103,Elements132381[Elemento])</f>
        <v>23</v>
      </c>
      <c r="D30" s="1" t="s">
        <v>207</v>
      </c>
      <c r="E30" s="1">
        <f>SUBTOTAL(109,Elements132381[Totais:])</f>
        <v>23</v>
      </c>
    </row>
  </sheetData>
  <mergeCells count="3">
    <mergeCell ref="A1:E2"/>
    <mergeCell ref="A4:E4"/>
    <mergeCell ref="A5:E5"/>
  </mergeCells>
  <hyperlinks>
    <hyperlink ref="A1" location="'13.2.38'!A1" display="JOELHO 45º SOLDAVEL,COM DIAMETRO DE 25MM.FORNECIMENTO" xr:uid="{00000000-0004-0000-5900-000000000000}"/>
    <hyperlink ref="B1" location="'13.2.38'!A1" display="JOELHO 45º SOLDAVEL,COM DIAMETRO DE 25MM.FORNECIMENTO" xr:uid="{00000000-0004-0000-5900-000001000000}"/>
    <hyperlink ref="C1" location="'13.2.38'!A1" display="JOELHO 45º SOLDAVEL,COM DIAMETRO DE 25MM.FORNECIMENTO" xr:uid="{00000000-0004-0000-5900-000002000000}"/>
    <hyperlink ref="D1" location="'13.2.38'!A1" display="JOELHO 45º SOLDAVEL,COM DIAMETRO DE 25MM.FORNECIMENTO" xr:uid="{00000000-0004-0000-5900-000003000000}"/>
    <hyperlink ref="E1" location="'13.2.38'!A1" display="JOELHO 45º SOLDAVEL,COM DIAMETRO DE 25MM.FORNECIMENTO" xr:uid="{00000000-0004-0000-5900-000004000000}"/>
    <hyperlink ref="A2" location="'13.2.38'!A1" display="JOELHO 45º SOLDAVEL,COM DIAMETRO DE 25MM.FORNECIMENTO" xr:uid="{00000000-0004-0000-5900-000005000000}"/>
    <hyperlink ref="B2" location="'13.2.38'!A1" display="JOELHO 45º SOLDAVEL,COM DIAMETRO DE 25MM.FORNECIMENTO" xr:uid="{00000000-0004-0000-5900-000006000000}"/>
    <hyperlink ref="C2" location="'13.2.38'!A1" display="JOELHO 45º SOLDAVEL,COM DIAMETRO DE 25MM.FORNECIMENTO" xr:uid="{00000000-0004-0000-5900-000007000000}"/>
    <hyperlink ref="D2" location="'13.2.38'!A1" display="JOELHO 45º SOLDAVEL,COM DIAMETRO DE 25MM.FORNECIMENTO" xr:uid="{00000000-0004-0000-5900-000008000000}"/>
    <hyperlink ref="E2" location="'13.2.38'!A1" display="JOELHO 45º SOLDAVEL,COM DIAMETRO DE 25MM.FORNECIMENTO" xr:uid="{00000000-0004-0000-5900-000009000000}"/>
    <hyperlink ref="A4" location="'13.2.38'!A1" display="Conexões de tubo" xr:uid="{00000000-0004-0000-5900-00000A000000}"/>
    <hyperlink ref="B4" location="'13.2.38'!A1" display="Conexões de tubo" xr:uid="{00000000-0004-0000-5900-00000B000000}"/>
    <hyperlink ref="C4" location="'13.2.38'!A1" display="Conexões de tubo" xr:uid="{00000000-0004-0000-5900-00000C000000}"/>
    <hyperlink ref="D4" location="'13.2.38'!A1" display="Conexões de tubo" xr:uid="{00000000-0004-0000-5900-00000D000000}"/>
    <hyperlink ref="E4" location="'13.2.38'!A1" display="Conexões de tubo" xr:uid="{00000000-0004-0000-59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A00-000000000000}">
  <dimension ref="A1:E6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162</v>
      </c>
      <c r="B1" s="23" t="s">
        <v>162</v>
      </c>
      <c r="C1" s="23" t="s">
        <v>162</v>
      </c>
      <c r="D1" s="23" t="s">
        <v>162</v>
      </c>
      <c r="E1" s="23" t="s">
        <v>162</v>
      </c>
    </row>
    <row r="2" spans="1:5">
      <c r="A2" s="23" t="s">
        <v>162</v>
      </c>
      <c r="B2" s="23" t="s">
        <v>162</v>
      </c>
      <c r="C2" s="23" t="s">
        <v>162</v>
      </c>
      <c r="D2" s="23" t="s">
        <v>162</v>
      </c>
      <c r="E2" s="23" t="s">
        <v>162</v>
      </c>
    </row>
    <row r="4" spans="1:5">
      <c r="A4" s="18" t="s">
        <v>269</v>
      </c>
      <c r="B4" s="18" t="s">
        <v>269</v>
      </c>
      <c r="C4" s="18" t="s">
        <v>269</v>
      </c>
      <c r="D4" s="18" t="s">
        <v>269</v>
      </c>
      <c r="E4" s="18" t="s">
        <v>269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3015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3016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3017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3018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3019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3020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214</v>
      </c>
      <c r="D13" s="11" t="s">
        <v>3021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214</v>
      </c>
      <c r="D14" s="11" t="s">
        <v>3022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214</v>
      </c>
      <c r="D15" s="11" t="s">
        <v>3023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214</v>
      </c>
      <c r="D16" s="11" t="s">
        <v>3024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214</v>
      </c>
      <c r="D17" s="11" t="s">
        <v>3025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214</v>
      </c>
      <c r="D18" s="11" t="s">
        <v>3026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214</v>
      </c>
      <c r="D19" s="11" t="s">
        <v>3027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214</v>
      </c>
      <c r="D20" s="11" t="s">
        <v>3028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214</v>
      </c>
      <c r="D21" s="11" t="s">
        <v>3029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214</v>
      </c>
      <c r="D22" s="11" t="s">
        <v>3030</v>
      </c>
      <c r="E22" s="11">
        <v>1</v>
      </c>
    </row>
    <row r="23" spans="1:5" ht="24.75">
      <c r="A23" s="11" t="s">
        <v>363</v>
      </c>
      <c r="B23" s="11" t="s">
        <v>233</v>
      </c>
      <c r="C23" s="11" t="s">
        <v>214</v>
      </c>
      <c r="D23" s="11" t="s">
        <v>3031</v>
      </c>
      <c r="E23" s="11">
        <v>1</v>
      </c>
    </row>
    <row r="24" spans="1:5" ht="24.75">
      <c r="A24" s="11" t="s">
        <v>363</v>
      </c>
      <c r="B24" s="11" t="s">
        <v>233</v>
      </c>
      <c r="C24" s="11" t="s">
        <v>214</v>
      </c>
      <c r="D24" s="11" t="s">
        <v>3032</v>
      </c>
      <c r="E24" s="11">
        <v>1</v>
      </c>
    </row>
    <row r="25" spans="1:5" ht="24.75">
      <c r="A25" s="11" t="s">
        <v>363</v>
      </c>
      <c r="B25" s="11" t="s">
        <v>233</v>
      </c>
      <c r="C25" s="11" t="s">
        <v>214</v>
      </c>
      <c r="D25" s="11" t="s">
        <v>3033</v>
      </c>
      <c r="E25" s="11">
        <v>1</v>
      </c>
    </row>
    <row r="26" spans="1:5" ht="24.75">
      <c r="A26" s="11" t="s">
        <v>363</v>
      </c>
      <c r="B26" s="11" t="s">
        <v>233</v>
      </c>
      <c r="C26" s="11" t="s">
        <v>214</v>
      </c>
      <c r="D26" s="11" t="s">
        <v>3034</v>
      </c>
      <c r="E26" s="11">
        <v>1</v>
      </c>
    </row>
    <row r="27" spans="1:5" ht="24.75">
      <c r="A27" s="11" t="s">
        <v>363</v>
      </c>
      <c r="B27" s="11" t="s">
        <v>233</v>
      </c>
      <c r="C27" s="11" t="s">
        <v>214</v>
      </c>
      <c r="D27" s="11" t="s">
        <v>3035</v>
      </c>
      <c r="E27" s="11">
        <v>1</v>
      </c>
    </row>
    <row r="28" spans="1:5" ht="24.75">
      <c r="A28" s="11" t="s">
        <v>363</v>
      </c>
      <c r="B28" s="11" t="s">
        <v>233</v>
      </c>
      <c r="C28" s="11" t="s">
        <v>214</v>
      </c>
      <c r="D28" s="11" t="s">
        <v>3036</v>
      </c>
      <c r="E28" s="11">
        <v>1</v>
      </c>
    </row>
    <row r="29" spans="1:5" ht="24.75">
      <c r="A29" s="11" t="s">
        <v>363</v>
      </c>
      <c r="B29" s="11" t="s">
        <v>233</v>
      </c>
      <c r="C29" s="11" t="s">
        <v>214</v>
      </c>
      <c r="D29" s="11" t="s">
        <v>3037</v>
      </c>
      <c r="E29" s="11">
        <v>1</v>
      </c>
    </row>
    <row r="30" spans="1:5" ht="24.75">
      <c r="A30" s="11" t="s">
        <v>363</v>
      </c>
      <c r="B30" s="11" t="s">
        <v>233</v>
      </c>
      <c r="C30" s="11" t="s">
        <v>214</v>
      </c>
      <c r="D30" s="11" t="s">
        <v>3038</v>
      </c>
      <c r="E30" s="11">
        <v>1</v>
      </c>
    </row>
    <row r="31" spans="1:5" ht="24.75">
      <c r="A31" s="11" t="s">
        <v>363</v>
      </c>
      <c r="B31" s="11" t="s">
        <v>233</v>
      </c>
      <c r="C31" s="11" t="s">
        <v>214</v>
      </c>
      <c r="D31" s="11" t="s">
        <v>3039</v>
      </c>
      <c r="E31" s="11">
        <v>1</v>
      </c>
    </row>
    <row r="32" spans="1:5" ht="24.75">
      <c r="A32" s="11" t="s">
        <v>363</v>
      </c>
      <c r="B32" s="11" t="s">
        <v>233</v>
      </c>
      <c r="C32" s="11" t="s">
        <v>214</v>
      </c>
      <c r="D32" s="11" t="s">
        <v>3040</v>
      </c>
      <c r="E32" s="11">
        <v>1</v>
      </c>
    </row>
    <row r="33" spans="1:5" ht="24.75">
      <c r="A33" s="11" t="s">
        <v>363</v>
      </c>
      <c r="B33" s="11" t="s">
        <v>233</v>
      </c>
      <c r="C33" s="11" t="s">
        <v>214</v>
      </c>
      <c r="D33" s="11" t="s">
        <v>3041</v>
      </c>
      <c r="E33" s="11">
        <v>1</v>
      </c>
    </row>
    <row r="34" spans="1:5" ht="24.75">
      <c r="A34" s="11" t="s">
        <v>363</v>
      </c>
      <c r="B34" s="11" t="s">
        <v>233</v>
      </c>
      <c r="C34" s="11" t="s">
        <v>214</v>
      </c>
      <c r="D34" s="11" t="s">
        <v>3042</v>
      </c>
      <c r="E34" s="11">
        <v>1</v>
      </c>
    </row>
    <row r="35" spans="1:5" ht="24.75">
      <c r="A35" s="11" t="s">
        <v>363</v>
      </c>
      <c r="B35" s="11" t="s">
        <v>233</v>
      </c>
      <c r="C35" s="11" t="s">
        <v>214</v>
      </c>
      <c r="D35" s="11" t="s">
        <v>3043</v>
      </c>
      <c r="E35" s="11">
        <v>1</v>
      </c>
    </row>
    <row r="36" spans="1:5" ht="24.75">
      <c r="A36" s="11" t="s">
        <v>363</v>
      </c>
      <c r="B36" s="11" t="s">
        <v>233</v>
      </c>
      <c r="C36" s="11" t="s">
        <v>214</v>
      </c>
      <c r="D36" s="11" t="s">
        <v>3044</v>
      </c>
      <c r="E36" s="11">
        <v>1</v>
      </c>
    </row>
    <row r="37" spans="1:5" ht="24.75">
      <c r="A37" s="11" t="s">
        <v>363</v>
      </c>
      <c r="B37" s="11" t="s">
        <v>233</v>
      </c>
      <c r="C37" s="11" t="s">
        <v>214</v>
      </c>
      <c r="D37" s="11" t="s">
        <v>3045</v>
      </c>
      <c r="E37" s="11">
        <v>1</v>
      </c>
    </row>
    <row r="38" spans="1:5" ht="24.75">
      <c r="A38" s="11" t="s">
        <v>363</v>
      </c>
      <c r="B38" s="11" t="s">
        <v>233</v>
      </c>
      <c r="C38" s="11" t="s">
        <v>214</v>
      </c>
      <c r="D38" s="11" t="s">
        <v>3046</v>
      </c>
      <c r="E38" s="11">
        <v>1</v>
      </c>
    </row>
    <row r="39" spans="1:5" ht="24.75">
      <c r="A39" s="11" t="s">
        <v>363</v>
      </c>
      <c r="B39" s="11" t="s">
        <v>233</v>
      </c>
      <c r="C39" s="11" t="s">
        <v>214</v>
      </c>
      <c r="D39" s="11" t="s">
        <v>3047</v>
      </c>
      <c r="E39" s="11">
        <v>1</v>
      </c>
    </row>
    <row r="40" spans="1:5" ht="24.75">
      <c r="A40" s="11" t="s">
        <v>363</v>
      </c>
      <c r="B40" s="11" t="s">
        <v>233</v>
      </c>
      <c r="C40" s="11" t="s">
        <v>214</v>
      </c>
      <c r="D40" s="11" t="s">
        <v>3048</v>
      </c>
      <c r="E40" s="11">
        <v>1</v>
      </c>
    </row>
    <row r="41" spans="1:5" ht="24.75">
      <c r="A41" s="11" t="s">
        <v>363</v>
      </c>
      <c r="B41" s="11" t="s">
        <v>233</v>
      </c>
      <c r="C41" s="11" t="s">
        <v>214</v>
      </c>
      <c r="D41" s="11" t="s">
        <v>3049</v>
      </c>
      <c r="E41" s="11">
        <v>1</v>
      </c>
    </row>
    <row r="42" spans="1:5" ht="24.75">
      <c r="A42" s="11" t="s">
        <v>363</v>
      </c>
      <c r="B42" s="11" t="s">
        <v>233</v>
      </c>
      <c r="C42" s="11" t="s">
        <v>214</v>
      </c>
      <c r="D42" s="11" t="s">
        <v>3050</v>
      </c>
      <c r="E42" s="11">
        <v>1</v>
      </c>
    </row>
    <row r="43" spans="1:5" ht="24.75">
      <c r="A43" s="11" t="s">
        <v>363</v>
      </c>
      <c r="B43" s="11" t="s">
        <v>233</v>
      </c>
      <c r="C43" s="11" t="s">
        <v>214</v>
      </c>
      <c r="D43" s="11" t="s">
        <v>3051</v>
      </c>
      <c r="E43" s="11">
        <v>1</v>
      </c>
    </row>
    <row r="44" spans="1:5" ht="24.75">
      <c r="A44" s="11" t="s">
        <v>363</v>
      </c>
      <c r="B44" s="11" t="s">
        <v>233</v>
      </c>
      <c r="C44" s="11" t="s">
        <v>214</v>
      </c>
      <c r="D44" s="11" t="s">
        <v>3052</v>
      </c>
      <c r="E44" s="11">
        <v>1</v>
      </c>
    </row>
    <row r="45" spans="1:5" ht="24.75">
      <c r="A45" s="11" t="s">
        <v>363</v>
      </c>
      <c r="B45" s="11" t="s">
        <v>233</v>
      </c>
      <c r="C45" s="11" t="s">
        <v>214</v>
      </c>
      <c r="D45" s="11" t="s">
        <v>3053</v>
      </c>
      <c r="E45" s="11">
        <v>1</v>
      </c>
    </row>
    <row r="46" spans="1:5" ht="24.75">
      <c r="A46" s="11" t="s">
        <v>363</v>
      </c>
      <c r="B46" s="11" t="s">
        <v>233</v>
      </c>
      <c r="C46" s="11" t="s">
        <v>214</v>
      </c>
      <c r="D46" s="11" t="s">
        <v>3054</v>
      </c>
      <c r="E46" s="11">
        <v>1</v>
      </c>
    </row>
    <row r="47" spans="1:5" ht="24.75">
      <c r="A47" s="11" t="s">
        <v>363</v>
      </c>
      <c r="B47" s="11" t="s">
        <v>233</v>
      </c>
      <c r="C47" s="11" t="s">
        <v>214</v>
      </c>
      <c r="D47" s="11" t="s">
        <v>3055</v>
      </c>
      <c r="E47" s="11">
        <v>1</v>
      </c>
    </row>
    <row r="48" spans="1:5" ht="24.75">
      <c r="A48" s="11" t="s">
        <v>363</v>
      </c>
      <c r="B48" s="11" t="s">
        <v>233</v>
      </c>
      <c r="C48" s="11" t="s">
        <v>214</v>
      </c>
      <c r="D48" s="11" t="s">
        <v>3056</v>
      </c>
      <c r="E48" s="11">
        <v>1</v>
      </c>
    </row>
    <row r="49" spans="1:5" ht="24.75">
      <c r="A49" s="11" t="s">
        <v>363</v>
      </c>
      <c r="B49" s="11" t="s">
        <v>233</v>
      </c>
      <c r="C49" s="11" t="s">
        <v>214</v>
      </c>
      <c r="D49" s="11" t="s">
        <v>3057</v>
      </c>
      <c r="E49" s="11">
        <v>1</v>
      </c>
    </row>
    <row r="50" spans="1:5" ht="24.75">
      <c r="A50" s="11" t="s">
        <v>363</v>
      </c>
      <c r="B50" s="11" t="s">
        <v>233</v>
      </c>
      <c r="C50" s="11" t="s">
        <v>214</v>
      </c>
      <c r="D50" s="11" t="s">
        <v>3058</v>
      </c>
      <c r="E50" s="11">
        <v>1</v>
      </c>
    </row>
    <row r="51" spans="1:5" ht="24.75">
      <c r="A51" s="11" t="s">
        <v>363</v>
      </c>
      <c r="B51" s="11" t="s">
        <v>233</v>
      </c>
      <c r="C51" s="11" t="s">
        <v>214</v>
      </c>
      <c r="D51" s="11" t="s">
        <v>3059</v>
      </c>
      <c r="E51" s="11">
        <v>1</v>
      </c>
    </row>
    <row r="52" spans="1:5" ht="24.75">
      <c r="A52" s="11" t="s">
        <v>363</v>
      </c>
      <c r="B52" s="11" t="s">
        <v>233</v>
      </c>
      <c r="C52" s="11" t="s">
        <v>214</v>
      </c>
      <c r="D52" s="11" t="s">
        <v>3060</v>
      </c>
      <c r="E52" s="11">
        <v>1</v>
      </c>
    </row>
    <row r="53" spans="1:5" ht="24.75">
      <c r="A53" s="11" t="s">
        <v>363</v>
      </c>
      <c r="B53" s="11" t="s">
        <v>233</v>
      </c>
      <c r="C53" s="11" t="s">
        <v>214</v>
      </c>
      <c r="D53" s="11" t="s">
        <v>3061</v>
      </c>
      <c r="E53" s="11">
        <v>1</v>
      </c>
    </row>
    <row r="54" spans="1:5" ht="24.75">
      <c r="A54" s="11" t="s">
        <v>363</v>
      </c>
      <c r="B54" s="11" t="s">
        <v>233</v>
      </c>
      <c r="C54" s="11" t="s">
        <v>214</v>
      </c>
      <c r="D54" s="11" t="s">
        <v>3062</v>
      </c>
      <c r="E54" s="11">
        <v>1</v>
      </c>
    </row>
    <row r="55" spans="1:5" ht="24.75">
      <c r="A55" s="11" t="s">
        <v>363</v>
      </c>
      <c r="B55" s="11" t="s">
        <v>233</v>
      </c>
      <c r="C55" s="11" t="s">
        <v>214</v>
      </c>
      <c r="D55" s="11" t="s">
        <v>3063</v>
      </c>
      <c r="E55" s="11">
        <v>1</v>
      </c>
    </row>
    <row r="56" spans="1:5" ht="24.75">
      <c r="A56" s="11" t="s">
        <v>363</v>
      </c>
      <c r="B56" s="11" t="s">
        <v>233</v>
      </c>
      <c r="C56" s="11" t="s">
        <v>214</v>
      </c>
      <c r="D56" s="11" t="s">
        <v>3064</v>
      </c>
      <c r="E56" s="11">
        <v>1</v>
      </c>
    </row>
    <row r="57" spans="1:5" ht="24.75">
      <c r="A57" s="11" t="s">
        <v>363</v>
      </c>
      <c r="B57" s="11" t="s">
        <v>233</v>
      </c>
      <c r="C57" s="11" t="s">
        <v>214</v>
      </c>
      <c r="D57" s="11" t="s">
        <v>3065</v>
      </c>
      <c r="E57" s="11">
        <v>1</v>
      </c>
    </row>
    <row r="58" spans="1:5" ht="24.75">
      <c r="A58" s="11" t="s">
        <v>363</v>
      </c>
      <c r="B58" s="11" t="s">
        <v>233</v>
      </c>
      <c r="C58" s="11" t="s">
        <v>214</v>
      </c>
      <c r="D58" s="11" t="s">
        <v>3066</v>
      </c>
      <c r="E58" s="11">
        <v>1</v>
      </c>
    </row>
    <row r="59" spans="1:5" ht="24.75">
      <c r="A59" s="11" t="s">
        <v>363</v>
      </c>
      <c r="B59" s="11" t="s">
        <v>233</v>
      </c>
      <c r="C59" s="11" t="s">
        <v>214</v>
      </c>
      <c r="D59" s="11" t="s">
        <v>3067</v>
      </c>
      <c r="E59" s="11">
        <v>1</v>
      </c>
    </row>
    <row r="60" spans="1:5" ht="24.75">
      <c r="A60" s="11" t="s">
        <v>363</v>
      </c>
      <c r="B60" s="11" t="s">
        <v>233</v>
      </c>
      <c r="C60" s="11" t="s">
        <v>214</v>
      </c>
      <c r="D60" s="11" t="s">
        <v>3068</v>
      </c>
      <c r="E60" s="11">
        <v>1</v>
      </c>
    </row>
    <row r="61" spans="1:5" ht="24.75">
      <c r="A61" s="11" t="s">
        <v>363</v>
      </c>
      <c r="B61" s="11" t="s">
        <v>233</v>
      </c>
      <c r="C61" s="11" t="s">
        <v>214</v>
      </c>
      <c r="D61" s="11" t="s">
        <v>3069</v>
      </c>
      <c r="E61" s="11">
        <v>1</v>
      </c>
    </row>
    <row r="62" spans="1:5" ht="24.75">
      <c r="A62" s="11" t="s">
        <v>363</v>
      </c>
      <c r="B62" s="11" t="s">
        <v>233</v>
      </c>
      <c r="C62" s="11" t="s">
        <v>214</v>
      </c>
      <c r="D62" s="11" t="s">
        <v>3070</v>
      </c>
      <c r="E62" s="11">
        <v>1</v>
      </c>
    </row>
    <row r="63" spans="1:5" ht="24.75">
      <c r="A63" s="11" t="s">
        <v>363</v>
      </c>
      <c r="B63" s="11" t="s">
        <v>233</v>
      </c>
      <c r="C63" s="11" t="s">
        <v>214</v>
      </c>
      <c r="D63" s="11" t="s">
        <v>3071</v>
      </c>
      <c r="E63" s="11">
        <v>1</v>
      </c>
    </row>
    <row r="64" spans="1:5" ht="24.75">
      <c r="A64" s="11" t="s">
        <v>363</v>
      </c>
      <c r="B64" s="11" t="s">
        <v>233</v>
      </c>
      <c r="C64" s="11" t="s">
        <v>214</v>
      </c>
      <c r="D64" s="11" t="s">
        <v>3072</v>
      </c>
      <c r="E64" s="11">
        <v>1</v>
      </c>
    </row>
    <row r="65" spans="1:5">
      <c r="A65" s="1" t="s">
        <v>207</v>
      </c>
      <c r="B65" s="1" t="s">
        <v>207</v>
      </c>
      <c r="C65" s="1">
        <f>SUBTOTAL(103,Elements132391[Elemento])</f>
        <v>58</v>
      </c>
      <c r="D65" s="1" t="s">
        <v>207</v>
      </c>
      <c r="E65" s="1">
        <f>SUBTOTAL(109,Elements132391[Totais:])</f>
        <v>58</v>
      </c>
    </row>
  </sheetData>
  <mergeCells count="3">
    <mergeCell ref="A1:E2"/>
    <mergeCell ref="A4:E4"/>
    <mergeCell ref="A5:E5"/>
  </mergeCells>
  <hyperlinks>
    <hyperlink ref="A1" location="'13.2.39'!A1" display="JOELHO 90º SOLDAVEL,COM DIAMETRO DE 25MM.FORNECIMENTO" xr:uid="{00000000-0004-0000-5A00-000000000000}"/>
    <hyperlink ref="B1" location="'13.2.39'!A1" display="JOELHO 90º SOLDAVEL,COM DIAMETRO DE 25MM.FORNECIMENTO" xr:uid="{00000000-0004-0000-5A00-000001000000}"/>
    <hyperlink ref="C1" location="'13.2.39'!A1" display="JOELHO 90º SOLDAVEL,COM DIAMETRO DE 25MM.FORNECIMENTO" xr:uid="{00000000-0004-0000-5A00-000002000000}"/>
    <hyperlink ref="D1" location="'13.2.39'!A1" display="JOELHO 90º SOLDAVEL,COM DIAMETRO DE 25MM.FORNECIMENTO" xr:uid="{00000000-0004-0000-5A00-000003000000}"/>
    <hyperlink ref="E1" location="'13.2.39'!A1" display="JOELHO 90º SOLDAVEL,COM DIAMETRO DE 25MM.FORNECIMENTO" xr:uid="{00000000-0004-0000-5A00-000004000000}"/>
    <hyperlink ref="A2" location="'13.2.39'!A1" display="JOELHO 90º SOLDAVEL,COM DIAMETRO DE 25MM.FORNECIMENTO" xr:uid="{00000000-0004-0000-5A00-000005000000}"/>
    <hyperlink ref="B2" location="'13.2.39'!A1" display="JOELHO 90º SOLDAVEL,COM DIAMETRO DE 25MM.FORNECIMENTO" xr:uid="{00000000-0004-0000-5A00-000006000000}"/>
    <hyperlink ref="C2" location="'13.2.39'!A1" display="JOELHO 90º SOLDAVEL,COM DIAMETRO DE 25MM.FORNECIMENTO" xr:uid="{00000000-0004-0000-5A00-000007000000}"/>
    <hyperlink ref="D2" location="'13.2.39'!A1" display="JOELHO 90º SOLDAVEL,COM DIAMETRO DE 25MM.FORNECIMENTO" xr:uid="{00000000-0004-0000-5A00-000008000000}"/>
    <hyperlink ref="E2" location="'13.2.39'!A1" display="JOELHO 90º SOLDAVEL,COM DIAMETRO DE 25MM.FORNECIMENTO" xr:uid="{00000000-0004-0000-5A00-000009000000}"/>
    <hyperlink ref="A4" location="'13.2.39'!A1" display="Conexões de tubo" xr:uid="{00000000-0004-0000-5A00-00000A000000}"/>
    <hyperlink ref="B4" location="'13.2.39'!A1" display="Conexões de tubo" xr:uid="{00000000-0004-0000-5A00-00000B000000}"/>
    <hyperlink ref="C4" location="'13.2.39'!A1" display="Conexões de tubo" xr:uid="{00000000-0004-0000-5A00-00000C000000}"/>
    <hyperlink ref="D4" location="'13.2.39'!A1" display="Conexões de tubo" xr:uid="{00000000-0004-0000-5A00-00000D000000}"/>
    <hyperlink ref="E4" location="'13.2.39'!A1" display="Conexões de tubo" xr:uid="{00000000-0004-0000-5A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B00-000000000000}">
  <dimension ref="A1:E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165</v>
      </c>
      <c r="B1" s="23" t="s">
        <v>165</v>
      </c>
      <c r="C1" s="23" t="s">
        <v>165</v>
      </c>
      <c r="D1" s="23" t="s">
        <v>165</v>
      </c>
      <c r="E1" s="23" t="s">
        <v>165</v>
      </c>
    </row>
    <row r="2" spans="1:5">
      <c r="A2" s="23" t="s">
        <v>165</v>
      </c>
      <c r="B2" s="23" t="s">
        <v>165</v>
      </c>
      <c r="C2" s="23" t="s">
        <v>165</v>
      </c>
      <c r="D2" s="23" t="s">
        <v>165</v>
      </c>
      <c r="E2" s="23" t="s">
        <v>165</v>
      </c>
    </row>
    <row r="4" spans="1:5">
      <c r="A4" s="18" t="s">
        <v>239</v>
      </c>
      <c r="B4" s="18" t="s">
        <v>239</v>
      </c>
      <c r="C4" s="18" t="s">
        <v>239</v>
      </c>
      <c r="D4" s="18" t="s">
        <v>239</v>
      </c>
      <c r="E4" s="18" t="s">
        <v>239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255</v>
      </c>
      <c r="D7" s="11" t="s">
        <v>3073</v>
      </c>
      <c r="E7" s="11">
        <v>1</v>
      </c>
    </row>
    <row r="8" spans="1:5">
      <c r="A8" s="1" t="s">
        <v>207</v>
      </c>
      <c r="B8" s="1" t="s">
        <v>207</v>
      </c>
      <c r="C8" s="1">
        <f>SUBTOTAL(103,Elements132401[Elemento])</f>
        <v>1</v>
      </c>
      <c r="D8" s="1" t="s">
        <v>207</v>
      </c>
      <c r="E8" s="1">
        <f>SUBTOTAL(109,Elements132401[Totais:])</f>
        <v>1</v>
      </c>
    </row>
  </sheetData>
  <mergeCells count="3">
    <mergeCell ref="A1:E2"/>
    <mergeCell ref="A4:E4"/>
    <mergeCell ref="A5:E5"/>
  </mergeCells>
  <hyperlinks>
    <hyperlink ref="A1" location="'13.2.40'!A1" display="VALVULA DE RETENCAO HORIZONTAL 3/4””" xr:uid="{00000000-0004-0000-5B00-000000000000}"/>
    <hyperlink ref="B1" location="'13.2.40'!A1" display="VALVULA DE RETENCAO HORIZONTAL 3/4””" xr:uid="{00000000-0004-0000-5B00-000001000000}"/>
    <hyperlink ref="C1" location="'13.2.40'!A1" display="VALVULA DE RETENCAO HORIZONTAL 3/4””" xr:uid="{00000000-0004-0000-5B00-000002000000}"/>
    <hyperlink ref="D1" location="'13.2.40'!A1" display="VALVULA DE RETENCAO HORIZONTAL 3/4””" xr:uid="{00000000-0004-0000-5B00-000003000000}"/>
    <hyperlink ref="E1" location="'13.2.40'!A1" display="VALVULA DE RETENCAO HORIZONTAL 3/4””" xr:uid="{00000000-0004-0000-5B00-000004000000}"/>
    <hyperlink ref="A2" location="'13.2.40'!A1" display="VALVULA DE RETENCAO HORIZONTAL 3/4””" xr:uid="{00000000-0004-0000-5B00-000005000000}"/>
    <hyperlink ref="B2" location="'13.2.40'!A1" display="VALVULA DE RETENCAO HORIZONTAL 3/4””" xr:uid="{00000000-0004-0000-5B00-000006000000}"/>
    <hyperlink ref="C2" location="'13.2.40'!A1" display="VALVULA DE RETENCAO HORIZONTAL 3/4””" xr:uid="{00000000-0004-0000-5B00-000007000000}"/>
    <hyperlink ref="D2" location="'13.2.40'!A1" display="VALVULA DE RETENCAO HORIZONTAL 3/4””" xr:uid="{00000000-0004-0000-5B00-000008000000}"/>
    <hyperlink ref="E2" location="'13.2.40'!A1" display="VALVULA DE RETENCAO HORIZONTAL 3/4””" xr:uid="{00000000-0004-0000-5B00-000009000000}"/>
    <hyperlink ref="A4" location="'13.2.40'!A1" display="Acessórios do tubo (A)" xr:uid="{00000000-0004-0000-5B00-00000A000000}"/>
    <hyperlink ref="B4" location="'13.2.40'!A1" display="Acessórios do tubo (A)" xr:uid="{00000000-0004-0000-5B00-00000B000000}"/>
    <hyperlink ref="C4" location="'13.2.40'!A1" display="Acessórios do tubo (A)" xr:uid="{00000000-0004-0000-5B00-00000C000000}"/>
    <hyperlink ref="D4" location="'13.2.40'!A1" display="Acessórios do tubo (A)" xr:uid="{00000000-0004-0000-5B00-00000D000000}"/>
    <hyperlink ref="E4" location="'13.2.40'!A1" display="Acessórios do tubo (A)" xr:uid="{00000000-0004-0000-5B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C00-000000000000}">
  <dimension ref="A1:E3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168</v>
      </c>
      <c r="B1" s="23" t="s">
        <v>168</v>
      </c>
      <c r="C1" s="23" t="s">
        <v>168</v>
      </c>
      <c r="D1" s="23" t="s">
        <v>168</v>
      </c>
      <c r="E1" s="23" t="s">
        <v>168</v>
      </c>
    </row>
    <row r="2" spans="1:5">
      <c r="A2" s="23" t="s">
        <v>168</v>
      </c>
      <c r="B2" s="23" t="s">
        <v>168</v>
      </c>
      <c r="C2" s="23" t="s">
        <v>168</v>
      </c>
      <c r="D2" s="23" t="s">
        <v>168</v>
      </c>
      <c r="E2" s="23" t="s">
        <v>168</v>
      </c>
    </row>
    <row r="4" spans="1:5">
      <c r="A4" s="18" t="s">
        <v>269</v>
      </c>
      <c r="B4" s="18" t="s">
        <v>269</v>
      </c>
      <c r="C4" s="18" t="s">
        <v>269</v>
      </c>
      <c r="D4" s="18" t="s">
        <v>269</v>
      </c>
      <c r="E4" s="18" t="s">
        <v>269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3074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3075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3076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3077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3078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3079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214</v>
      </c>
      <c r="D13" s="11" t="s">
        <v>3080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214</v>
      </c>
      <c r="D14" s="11" t="s">
        <v>3081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214</v>
      </c>
      <c r="D15" s="11" t="s">
        <v>3082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214</v>
      </c>
      <c r="D16" s="11" t="s">
        <v>3083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214</v>
      </c>
      <c r="D17" s="11" t="s">
        <v>3084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214</v>
      </c>
      <c r="D18" s="11" t="s">
        <v>3085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214</v>
      </c>
      <c r="D19" s="11" t="s">
        <v>3086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214</v>
      </c>
      <c r="D20" s="11" t="s">
        <v>3087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214</v>
      </c>
      <c r="D21" s="11" t="s">
        <v>3088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214</v>
      </c>
      <c r="D22" s="11" t="s">
        <v>3089</v>
      </c>
      <c r="E22" s="11">
        <v>1</v>
      </c>
    </row>
    <row r="23" spans="1:5" ht="24.75">
      <c r="A23" s="11" t="s">
        <v>363</v>
      </c>
      <c r="B23" s="11" t="s">
        <v>233</v>
      </c>
      <c r="C23" s="11" t="s">
        <v>214</v>
      </c>
      <c r="D23" s="11" t="s">
        <v>3090</v>
      </c>
      <c r="E23" s="11">
        <v>1</v>
      </c>
    </row>
    <row r="24" spans="1:5" ht="24.75">
      <c r="A24" s="11" t="s">
        <v>363</v>
      </c>
      <c r="B24" s="11" t="s">
        <v>233</v>
      </c>
      <c r="C24" s="11" t="s">
        <v>214</v>
      </c>
      <c r="D24" s="11" t="s">
        <v>3091</v>
      </c>
      <c r="E24" s="11">
        <v>1</v>
      </c>
    </row>
    <row r="25" spans="1:5" ht="24.75">
      <c r="A25" s="11" t="s">
        <v>363</v>
      </c>
      <c r="B25" s="11" t="s">
        <v>233</v>
      </c>
      <c r="C25" s="11" t="s">
        <v>214</v>
      </c>
      <c r="D25" s="11" t="s">
        <v>3092</v>
      </c>
      <c r="E25" s="11">
        <v>1</v>
      </c>
    </row>
    <row r="26" spans="1:5" ht="24.75">
      <c r="A26" s="11" t="s">
        <v>363</v>
      </c>
      <c r="B26" s="11" t="s">
        <v>233</v>
      </c>
      <c r="C26" s="11" t="s">
        <v>214</v>
      </c>
      <c r="D26" s="11" t="s">
        <v>3093</v>
      </c>
      <c r="E26" s="11">
        <v>1</v>
      </c>
    </row>
    <row r="27" spans="1:5" ht="24.75">
      <c r="A27" s="11" t="s">
        <v>363</v>
      </c>
      <c r="B27" s="11" t="s">
        <v>233</v>
      </c>
      <c r="C27" s="11" t="s">
        <v>214</v>
      </c>
      <c r="D27" s="11" t="s">
        <v>3094</v>
      </c>
      <c r="E27" s="11">
        <v>1</v>
      </c>
    </row>
    <row r="28" spans="1:5" ht="24.75">
      <c r="A28" s="11" t="s">
        <v>363</v>
      </c>
      <c r="B28" s="11" t="s">
        <v>233</v>
      </c>
      <c r="C28" s="11" t="s">
        <v>214</v>
      </c>
      <c r="D28" s="11" t="s">
        <v>3095</v>
      </c>
      <c r="E28" s="11">
        <v>1</v>
      </c>
    </row>
    <row r="29" spans="1:5" ht="24.75">
      <c r="A29" s="11" t="s">
        <v>363</v>
      </c>
      <c r="B29" s="11" t="s">
        <v>233</v>
      </c>
      <c r="C29" s="11" t="s">
        <v>214</v>
      </c>
      <c r="D29" s="11" t="s">
        <v>3096</v>
      </c>
      <c r="E29" s="11">
        <v>1</v>
      </c>
    </row>
    <row r="30" spans="1:5" ht="24.75">
      <c r="A30" s="11" t="s">
        <v>363</v>
      </c>
      <c r="B30" s="11" t="s">
        <v>233</v>
      </c>
      <c r="C30" s="11" t="s">
        <v>214</v>
      </c>
      <c r="D30" s="11" t="s">
        <v>3097</v>
      </c>
      <c r="E30" s="11">
        <v>1</v>
      </c>
    </row>
    <row r="31" spans="1:5" ht="24.75">
      <c r="A31" s="11" t="s">
        <v>363</v>
      </c>
      <c r="B31" s="11" t="s">
        <v>233</v>
      </c>
      <c r="C31" s="11" t="s">
        <v>214</v>
      </c>
      <c r="D31" s="11" t="s">
        <v>3098</v>
      </c>
      <c r="E31" s="11">
        <v>1</v>
      </c>
    </row>
    <row r="32" spans="1:5" ht="24.75">
      <c r="A32" s="11" t="s">
        <v>363</v>
      </c>
      <c r="B32" s="11" t="s">
        <v>233</v>
      </c>
      <c r="C32" s="11" t="s">
        <v>214</v>
      </c>
      <c r="D32" s="11" t="s">
        <v>3099</v>
      </c>
      <c r="E32" s="11">
        <v>1</v>
      </c>
    </row>
    <row r="33" spans="1:5" ht="24.75">
      <c r="A33" s="11" t="s">
        <v>363</v>
      </c>
      <c r="B33" s="11" t="s">
        <v>233</v>
      </c>
      <c r="C33" s="11" t="s">
        <v>214</v>
      </c>
      <c r="D33" s="11" t="s">
        <v>3100</v>
      </c>
      <c r="E33" s="11">
        <v>1</v>
      </c>
    </row>
    <row r="34" spans="1:5" ht="24.75">
      <c r="A34" s="11" t="s">
        <v>363</v>
      </c>
      <c r="B34" s="11" t="s">
        <v>233</v>
      </c>
      <c r="C34" s="11" t="s">
        <v>214</v>
      </c>
      <c r="D34" s="11" t="s">
        <v>3101</v>
      </c>
      <c r="E34" s="11">
        <v>1</v>
      </c>
    </row>
    <row r="35" spans="1:5">
      <c r="A35" s="1" t="s">
        <v>207</v>
      </c>
      <c r="B35" s="1" t="s">
        <v>207</v>
      </c>
      <c r="C35" s="1">
        <f>SUBTOTAL(103,Elements132411[Elemento])</f>
        <v>28</v>
      </c>
      <c r="D35" s="1" t="s">
        <v>207</v>
      </c>
      <c r="E35" s="1">
        <f>SUBTOTAL(109,Elements132411[Totais:])</f>
        <v>28</v>
      </c>
    </row>
  </sheetData>
  <mergeCells count="3">
    <mergeCell ref="A1:E2"/>
    <mergeCell ref="A4:E4"/>
    <mergeCell ref="A5:E5"/>
  </mergeCells>
  <hyperlinks>
    <hyperlink ref="A1" location="'13.2.41'!A1" display="JOELHO 90º SOLDAVEL,COM DIAMETRO DE 50MM.FORNECIMENTO" xr:uid="{00000000-0004-0000-5C00-000000000000}"/>
    <hyperlink ref="B1" location="'13.2.41'!A1" display="JOELHO 90º SOLDAVEL,COM DIAMETRO DE 50MM.FORNECIMENTO" xr:uid="{00000000-0004-0000-5C00-000001000000}"/>
    <hyperlink ref="C1" location="'13.2.41'!A1" display="JOELHO 90º SOLDAVEL,COM DIAMETRO DE 50MM.FORNECIMENTO" xr:uid="{00000000-0004-0000-5C00-000002000000}"/>
    <hyperlink ref="D1" location="'13.2.41'!A1" display="JOELHO 90º SOLDAVEL,COM DIAMETRO DE 50MM.FORNECIMENTO" xr:uid="{00000000-0004-0000-5C00-000003000000}"/>
    <hyperlink ref="E1" location="'13.2.41'!A1" display="JOELHO 90º SOLDAVEL,COM DIAMETRO DE 50MM.FORNECIMENTO" xr:uid="{00000000-0004-0000-5C00-000004000000}"/>
    <hyperlink ref="A2" location="'13.2.41'!A1" display="JOELHO 90º SOLDAVEL,COM DIAMETRO DE 50MM.FORNECIMENTO" xr:uid="{00000000-0004-0000-5C00-000005000000}"/>
    <hyperlink ref="B2" location="'13.2.41'!A1" display="JOELHO 90º SOLDAVEL,COM DIAMETRO DE 50MM.FORNECIMENTO" xr:uid="{00000000-0004-0000-5C00-000006000000}"/>
    <hyperlink ref="C2" location="'13.2.41'!A1" display="JOELHO 90º SOLDAVEL,COM DIAMETRO DE 50MM.FORNECIMENTO" xr:uid="{00000000-0004-0000-5C00-000007000000}"/>
    <hyperlink ref="D2" location="'13.2.41'!A1" display="JOELHO 90º SOLDAVEL,COM DIAMETRO DE 50MM.FORNECIMENTO" xr:uid="{00000000-0004-0000-5C00-000008000000}"/>
    <hyperlink ref="E2" location="'13.2.41'!A1" display="JOELHO 90º SOLDAVEL,COM DIAMETRO DE 50MM.FORNECIMENTO" xr:uid="{00000000-0004-0000-5C00-000009000000}"/>
    <hyperlink ref="A4" location="'13.2.41'!A1" display="Conexões de tubo" xr:uid="{00000000-0004-0000-5C00-00000A000000}"/>
    <hyperlink ref="B4" location="'13.2.41'!A1" display="Conexões de tubo" xr:uid="{00000000-0004-0000-5C00-00000B000000}"/>
    <hyperlink ref="C4" location="'13.2.41'!A1" display="Conexões de tubo" xr:uid="{00000000-0004-0000-5C00-00000C000000}"/>
    <hyperlink ref="D4" location="'13.2.41'!A1" display="Conexões de tubo" xr:uid="{00000000-0004-0000-5C00-00000D000000}"/>
    <hyperlink ref="E4" location="'13.2.41'!A1" display="Conexões de tubo" xr:uid="{00000000-0004-0000-5C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D00-000000000000}">
  <dimension ref="A1:E36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171</v>
      </c>
      <c r="B1" s="23" t="s">
        <v>171</v>
      </c>
      <c r="C1" s="23" t="s">
        <v>171</v>
      </c>
      <c r="D1" s="23" t="s">
        <v>171</v>
      </c>
      <c r="E1" s="23" t="s">
        <v>171</v>
      </c>
    </row>
    <row r="2" spans="1:5">
      <c r="A2" s="23" t="s">
        <v>171</v>
      </c>
      <c r="B2" s="23" t="s">
        <v>171</v>
      </c>
      <c r="C2" s="23" t="s">
        <v>171</v>
      </c>
      <c r="D2" s="23" t="s">
        <v>171</v>
      </c>
      <c r="E2" s="23" t="s">
        <v>171</v>
      </c>
    </row>
    <row r="4" spans="1:5">
      <c r="A4" s="18" t="s">
        <v>269</v>
      </c>
      <c r="B4" s="18" t="s">
        <v>269</v>
      </c>
      <c r="C4" s="18" t="s">
        <v>269</v>
      </c>
      <c r="D4" s="18" t="s">
        <v>269</v>
      </c>
      <c r="E4" s="18" t="s">
        <v>269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3102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3103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3104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3105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3106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3107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214</v>
      </c>
      <c r="D13" s="11" t="s">
        <v>3108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214</v>
      </c>
      <c r="D14" s="11" t="s">
        <v>3109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214</v>
      </c>
      <c r="D15" s="11" t="s">
        <v>3110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214</v>
      </c>
      <c r="D16" s="11" t="s">
        <v>3111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214</v>
      </c>
      <c r="D17" s="11" t="s">
        <v>3112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214</v>
      </c>
      <c r="D18" s="11" t="s">
        <v>3113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214</v>
      </c>
      <c r="D19" s="11" t="s">
        <v>3114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214</v>
      </c>
      <c r="D20" s="11" t="s">
        <v>3115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214</v>
      </c>
      <c r="D21" s="11" t="s">
        <v>3116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214</v>
      </c>
      <c r="D22" s="11" t="s">
        <v>3117</v>
      </c>
      <c r="E22" s="11">
        <v>1</v>
      </c>
    </row>
    <row r="23" spans="1:5" ht="24.75">
      <c r="A23" s="11" t="s">
        <v>363</v>
      </c>
      <c r="B23" s="11" t="s">
        <v>233</v>
      </c>
      <c r="C23" s="11" t="s">
        <v>214</v>
      </c>
      <c r="D23" s="11" t="s">
        <v>3118</v>
      </c>
      <c r="E23" s="11">
        <v>1</v>
      </c>
    </row>
    <row r="24" spans="1:5" ht="24.75">
      <c r="A24" s="11" t="s">
        <v>363</v>
      </c>
      <c r="B24" s="11" t="s">
        <v>233</v>
      </c>
      <c r="C24" s="11" t="s">
        <v>214</v>
      </c>
      <c r="D24" s="11" t="s">
        <v>3119</v>
      </c>
      <c r="E24" s="11">
        <v>1</v>
      </c>
    </row>
    <row r="25" spans="1:5" ht="24.75">
      <c r="A25" s="11" t="s">
        <v>363</v>
      </c>
      <c r="B25" s="11" t="s">
        <v>233</v>
      </c>
      <c r="C25" s="11" t="s">
        <v>214</v>
      </c>
      <c r="D25" s="11" t="s">
        <v>3120</v>
      </c>
      <c r="E25" s="11">
        <v>1</v>
      </c>
    </row>
    <row r="26" spans="1:5" ht="24.75">
      <c r="A26" s="11" t="s">
        <v>363</v>
      </c>
      <c r="B26" s="11" t="s">
        <v>233</v>
      </c>
      <c r="C26" s="11" t="s">
        <v>214</v>
      </c>
      <c r="D26" s="11" t="s">
        <v>3121</v>
      </c>
      <c r="E26" s="11">
        <v>1</v>
      </c>
    </row>
    <row r="27" spans="1:5" ht="24.75">
      <c r="A27" s="11" t="s">
        <v>363</v>
      </c>
      <c r="B27" s="11" t="s">
        <v>233</v>
      </c>
      <c r="C27" s="11" t="s">
        <v>214</v>
      </c>
      <c r="D27" s="11" t="s">
        <v>3122</v>
      </c>
      <c r="E27" s="11">
        <v>1</v>
      </c>
    </row>
    <row r="28" spans="1:5" ht="24.75">
      <c r="A28" s="11" t="s">
        <v>363</v>
      </c>
      <c r="B28" s="11" t="s">
        <v>233</v>
      </c>
      <c r="C28" s="11" t="s">
        <v>214</v>
      </c>
      <c r="D28" s="11" t="s">
        <v>3123</v>
      </c>
      <c r="E28" s="11">
        <v>1</v>
      </c>
    </row>
    <row r="29" spans="1:5" ht="24.75">
      <c r="A29" s="11" t="s">
        <v>363</v>
      </c>
      <c r="B29" s="11" t="s">
        <v>233</v>
      </c>
      <c r="C29" s="11" t="s">
        <v>214</v>
      </c>
      <c r="D29" s="11" t="s">
        <v>3124</v>
      </c>
      <c r="E29" s="11">
        <v>1</v>
      </c>
    </row>
    <row r="30" spans="1:5" ht="24.75">
      <c r="A30" s="11" t="s">
        <v>363</v>
      </c>
      <c r="B30" s="11" t="s">
        <v>233</v>
      </c>
      <c r="C30" s="11" t="s">
        <v>214</v>
      </c>
      <c r="D30" s="11" t="s">
        <v>3125</v>
      </c>
      <c r="E30" s="11">
        <v>1</v>
      </c>
    </row>
    <row r="31" spans="1:5" ht="24.75">
      <c r="A31" s="11" t="s">
        <v>363</v>
      </c>
      <c r="B31" s="11" t="s">
        <v>233</v>
      </c>
      <c r="C31" s="11" t="s">
        <v>214</v>
      </c>
      <c r="D31" s="11" t="s">
        <v>3126</v>
      </c>
      <c r="E31" s="11">
        <v>1</v>
      </c>
    </row>
    <row r="32" spans="1:5" ht="24.75">
      <c r="A32" s="11" t="s">
        <v>363</v>
      </c>
      <c r="B32" s="11" t="s">
        <v>233</v>
      </c>
      <c r="C32" s="11" t="s">
        <v>214</v>
      </c>
      <c r="D32" s="11" t="s">
        <v>3127</v>
      </c>
      <c r="E32" s="11">
        <v>1</v>
      </c>
    </row>
    <row r="33" spans="1:5" ht="24.75">
      <c r="A33" s="11" t="s">
        <v>363</v>
      </c>
      <c r="B33" s="11" t="s">
        <v>233</v>
      </c>
      <c r="C33" s="11" t="s">
        <v>214</v>
      </c>
      <c r="D33" s="11" t="s">
        <v>3128</v>
      </c>
      <c r="E33" s="11">
        <v>1</v>
      </c>
    </row>
    <row r="34" spans="1:5" ht="24.75">
      <c r="A34" s="11" t="s">
        <v>363</v>
      </c>
      <c r="B34" s="11" t="s">
        <v>233</v>
      </c>
      <c r="C34" s="11" t="s">
        <v>214</v>
      </c>
      <c r="D34" s="11" t="s">
        <v>3129</v>
      </c>
      <c r="E34" s="11">
        <v>1</v>
      </c>
    </row>
    <row r="35" spans="1:5" ht="24.75">
      <c r="A35" s="11" t="s">
        <v>363</v>
      </c>
      <c r="B35" s="11" t="s">
        <v>233</v>
      </c>
      <c r="C35" s="11" t="s">
        <v>214</v>
      </c>
      <c r="D35" s="11" t="s">
        <v>3130</v>
      </c>
      <c r="E35" s="11">
        <v>1</v>
      </c>
    </row>
    <row r="36" spans="1:5">
      <c r="A36" s="1" t="s">
        <v>207</v>
      </c>
      <c r="B36" s="1" t="s">
        <v>207</v>
      </c>
      <c r="C36" s="1">
        <f>SUBTOTAL(103,Elements132421[Elemento])</f>
        <v>29</v>
      </c>
      <c r="D36" s="1" t="s">
        <v>207</v>
      </c>
      <c r="E36" s="1">
        <f>SUBTOTAL(109,Elements132421[Totais:])</f>
        <v>29</v>
      </c>
    </row>
  </sheetData>
  <mergeCells count="3">
    <mergeCell ref="A1:E2"/>
    <mergeCell ref="A4:E4"/>
    <mergeCell ref="A5:E5"/>
  </mergeCells>
  <hyperlinks>
    <hyperlink ref="A1" location="'13.2.42'!A1" display="JOELHO 90º SOLDAVEL,COM DIAMETRO DE 60MM.FORNECIMENTO" xr:uid="{00000000-0004-0000-5D00-000000000000}"/>
    <hyperlink ref="B1" location="'13.2.42'!A1" display="JOELHO 90º SOLDAVEL,COM DIAMETRO DE 60MM.FORNECIMENTO" xr:uid="{00000000-0004-0000-5D00-000001000000}"/>
    <hyperlink ref="C1" location="'13.2.42'!A1" display="JOELHO 90º SOLDAVEL,COM DIAMETRO DE 60MM.FORNECIMENTO" xr:uid="{00000000-0004-0000-5D00-000002000000}"/>
    <hyperlink ref="D1" location="'13.2.42'!A1" display="JOELHO 90º SOLDAVEL,COM DIAMETRO DE 60MM.FORNECIMENTO" xr:uid="{00000000-0004-0000-5D00-000003000000}"/>
    <hyperlink ref="E1" location="'13.2.42'!A1" display="JOELHO 90º SOLDAVEL,COM DIAMETRO DE 60MM.FORNECIMENTO" xr:uid="{00000000-0004-0000-5D00-000004000000}"/>
    <hyperlink ref="A2" location="'13.2.42'!A1" display="JOELHO 90º SOLDAVEL,COM DIAMETRO DE 60MM.FORNECIMENTO" xr:uid="{00000000-0004-0000-5D00-000005000000}"/>
    <hyperlink ref="B2" location="'13.2.42'!A1" display="JOELHO 90º SOLDAVEL,COM DIAMETRO DE 60MM.FORNECIMENTO" xr:uid="{00000000-0004-0000-5D00-000006000000}"/>
    <hyperlink ref="C2" location="'13.2.42'!A1" display="JOELHO 90º SOLDAVEL,COM DIAMETRO DE 60MM.FORNECIMENTO" xr:uid="{00000000-0004-0000-5D00-000007000000}"/>
    <hyperlink ref="D2" location="'13.2.42'!A1" display="JOELHO 90º SOLDAVEL,COM DIAMETRO DE 60MM.FORNECIMENTO" xr:uid="{00000000-0004-0000-5D00-000008000000}"/>
    <hyperlink ref="E2" location="'13.2.42'!A1" display="JOELHO 90º SOLDAVEL,COM DIAMETRO DE 60MM.FORNECIMENTO" xr:uid="{00000000-0004-0000-5D00-000009000000}"/>
    <hyperlink ref="A4" location="'13.2.42'!A1" display="Conexões de tubo" xr:uid="{00000000-0004-0000-5D00-00000A000000}"/>
    <hyperlink ref="B4" location="'13.2.42'!A1" display="Conexões de tubo" xr:uid="{00000000-0004-0000-5D00-00000B000000}"/>
    <hyperlink ref="C4" location="'13.2.42'!A1" display="Conexões de tubo" xr:uid="{00000000-0004-0000-5D00-00000C000000}"/>
    <hyperlink ref="D4" location="'13.2.42'!A1" display="Conexões de tubo" xr:uid="{00000000-0004-0000-5D00-00000D000000}"/>
    <hyperlink ref="E4" location="'13.2.42'!A1" display="Conexões de tubo" xr:uid="{00000000-0004-0000-5D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E00-000000000000}">
  <dimension ref="A1:E76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174</v>
      </c>
      <c r="B1" s="23" t="s">
        <v>174</v>
      </c>
      <c r="C1" s="23" t="s">
        <v>174</v>
      </c>
      <c r="D1" s="23" t="s">
        <v>174</v>
      </c>
      <c r="E1" s="23" t="s">
        <v>174</v>
      </c>
    </row>
    <row r="2" spans="1:5">
      <c r="A2" s="23" t="s">
        <v>174</v>
      </c>
      <c r="B2" s="23" t="s">
        <v>174</v>
      </c>
      <c r="C2" s="23" t="s">
        <v>174</v>
      </c>
      <c r="D2" s="23" t="s">
        <v>174</v>
      </c>
      <c r="E2" s="23" t="s">
        <v>174</v>
      </c>
    </row>
    <row r="4" spans="1:5">
      <c r="A4" s="18" t="s">
        <v>206</v>
      </c>
      <c r="B4" s="18" t="s">
        <v>206</v>
      </c>
      <c r="C4" s="18" t="s">
        <v>206</v>
      </c>
      <c r="D4" s="18" t="s">
        <v>206</v>
      </c>
      <c r="E4" s="18" t="s">
        <v>206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3131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3132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3133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3134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3135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3136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214</v>
      </c>
      <c r="D13" s="11" t="s">
        <v>3137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214</v>
      </c>
      <c r="D14" s="11" t="s">
        <v>3138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214</v>
      </c>
      <c r="D15" s="11" t="s">
        <v>3139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214</v>
      </c>
      <c r="D16" s="11" t="s">
        <v>3140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214</v>
      </c>
      <c r="D17" s="11" t="s">
        <v>3141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214</v>
      </c>
      <c r="D18" s="11" t="s">
        <v>3142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214</v>
      </c>
      <c r="D19" s="11" t="s">
        <v>3143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214</v>
      </c>
      <c r="D20" s="11" t="s">
        <v>3144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214</v>
      </c>
      <c r="D21" s="11" t="s">
        <v>3145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214</v>
      </c>
      <c r="D22" s="11" t="s">
        <v>3146</v>
      </c>
      <c r="E22" s="11">
        <v>1</v>
      </c>
    </row>
    <row r="23" spans="1:5" ht="24.75">
      <c r="A23" s="11" t="s">
        <v>363</v>
      </c>
      <c r="B23" s="11" t="s">
        <v>233</v>
      </c>
      <c r="C23" s="11" t="s">
        <v>214</v>
      </c>
      <c r="D23" s="11" t="s">
        <v>3147</v>
      </c>
      <c r="E23" s="11">
        <v>1</v>
      </c>
    </row>
    <row r="24" spans="1:5" ht="24.75">
      <c r="A24" s="11" t="s">
        <v>363</v>
      </c>
      <c r="B24" s="11" t="s">
        <v>233</v>
      </c>
      <c r="C24" s="11" t="s">
        <v>214</v>
      </c>
      <c r="D24" s="11" t="s">
        <v>3148</v>
      </c>
      <c r="E24" s="11">
        <v>1</v>
      </c>
    </row>
    <row r="25" spans="1:5" ht="24.75">
      <c r="A25" s="11" t="s">
        <v>363</v>
      </c>
      <c r="B25" s="11" t="s">
        <v>233</v>
      </c>
      <c r="C25" s="11" t="s">
        <v>214</v>
      </c>
      <c r="D25" s="11" t="s">
        <v>3149</v>
      </c>
      <c r="E25" s="11">
        <v>1</v>
      </c>
    </row>
    <row r="26" spans="1:5" ht="24.75">
      <c r="A26" s="11" t="s">
        <v>363</v>
      </c>
      <c r="B26" s="11" t="s">
        <v>233</v>
      </c>
      <c r="C26" s="11" t="s">
        <v>214</v>
      </c>
      <c r="D26" s="11" t="s">
        <v>3150</v>
      </c>
      <c r="E26" s="11">
        <v>1</v>
      </c>
    </row>
    <row r="27" spans="1:5" ht="24.75">
      <c r="A27" s="11" t="s">
        <v>363</v>
      </c>
      <c r="B27" s="11" t="s">
        <v>233</v>
      </c>
      <c r="C27" s="11" t="s">
        <v>214</v>
      </c>
      <c r="D27" s="11" t="s">
        <v>3151</v>
      </c>
      <c r="E27" s="11">
        <v>1</v>
      </c>
    </row>
    <row r="28" spans="1:5" ht="24.75">
      <c r="A28" s="11" t="s">
        <v>363</v>
      </c>
      <c r="B28" s="11" t="s">
        <v>233</v>
      </c>
      <c r="C28" s="11" t="s">
        <v>214</v>
      </c>
      <c r="D28" s="11" t="s">
        <v>3152</v>
      </c>
      <c r="E28" s="11">
        <v>1</v>
      </c>
    </row>
    <row r="29" spans="1:5" ht="24.75">
      <c r="A29" s="11" t="s">
        <v>363</v>
      </c>
      <c r="B29" s="11" t="s">
        <v>233</v>
      </c>
      <c r="C29" s="11" t="s">
        <v>214</v>
      </c>
      <c r="D29" s="11" t="s">
        <v>3153</v>
      </c>
      <c r="E29" s="11">
        <v>1</v>
      </c>
    </row>
    <row r="30" spans="1:5" ht="24.75">
      <c r="A30" s="11" t="s">
        <v>363</v>
      </c>
      <c r="B30" s="11" t="s">
        <v>233</v>
      </c>
      <c r="C30" s="11" t="s">
        <v>214</v>
      </c>
      <c r="D30" s="11" t="s">
        <v>3154</v>
      </c>
      <c r="E30" s="11">
        <v>1</v>
      </c>
    </row>
    <row r="31" spans="1:5" ht="24.75">
      <c r="A31" s="11" t="s">
        <v>363</v>
      </c>
      <c r="B31" s="11" t="s">
        <v>233</v>
      </c>
      <c r="C31" s="11" t="s">
        <v>214</v>
      </c>
      <c r="D31" s="11" t="s">
        <v>3155</v>
      </c>
      <c r="E31" s="11">
        <v>1</v>
      </c>
    </row>
    <row r="32" spans="1:5" ht="24.75">
      <c r="A32" s="11" t="s">
        <v>363</v>
      </c>
      <c r="B32" s="11" t="s">
        <v>233</v>
      </c>
      <c r="C32" s="11" t="s">
        <v>214</v>
      </c>
      <c r="D32" s="11" t="s">
        <v>3156</v>
      </c>
      <c r="E32" s="11">
        <v>1</v>
      </c>
    </row>
    <row r="33" spans="1:5" ht="24.75">
      <c r="A33" s="11" t="s">
        <v>363</v>
      </c>
      <c r="B33" s="11" t="s">
        <v>233</v>
      </c>
      <c r="C33" s="11" t="s">
        <v>214</v>
      </c>
      <c r="D33" s="11" t="s">
        <v>3157</v>
      </c>
      <c r="E33" s="11">
        <v>1</v>
      </c>
    </row>
    <row r="34" spans="1:5" ht="24.75">
      <c r="A34" s="11" t="s">
        <v>363</v>
      </c>
      <c r="B34" s="11" t="s">
        <v>233</v>
      </c>
      <c r="C34" s="11" t="s">
        <v>214</v>
      </c>
      <c r="D34" s="11" t="s">
        <v>3158</v>
      </c>
      <c r="E34" s="11">
        <v>1</v>
      </c>
    </row>
    <row r="35" spans="1:5" ht="24.75">
      <c r="A35" s="11" t="s">
        <v>363</v>
      </c>
      <c r="B35" s="11" t="s">
        <v>233</v>
      </c>
      <c r="C35" s="11" t="s">
        <v>214</v>
      </c>
      <c r="D35" s="11" t="s">
        <v>3159</v>
      </c>
      <c r="E35" s="11">
        <v>1</v>
      </c>
    </row>
    <row r="36" spans="1:5" ht="24.75">
      <c r="A36" s="11" t="s">
        <v>363</v>
      </c>
      <c r="B36" s="11" t="s">
        <v>233</v>
      </c>
      <c r="C36" s="11" t="s">
        <v>214</v>
      </c>
      <c r="D36" s="11" t="s">
        <v>3160</v>
      </c>
      <c r="E36" s="11">
        <v>1</v>
      </c>
    </row>
    <row r="37" spans="1:5" ht="24.75">
      <c r="A37" s="11" t="s">
        <v>363</v>
      </c>
      <c r="B37" s="11" t="s">
        <v>233</v>
      </c>
      <c r="C37" s="11" t="s">
        <v>214</v>
      </c>
      <c r="D37" s="11" t="s">
        <v>3161</v>
      </c>
      <c r="E37" s="11">
        <v>1</v>
      </c>
    </row>
    <row r="38" spans="1:5" ht="24.75">
      <c r="A38" s="11" t="s">
        <v>363</v>
      </c>
      <c r="B38" s="11" t="s">
        <v>233</v>
      </c>
      <c r="C38" s="11" t="s">
        <v>214</v>
      </c>
      <c r="D38" s="11" t="s">
        <v>3162</v>
      </c>
      <c r="E38" s="11">
        <v>1</v>
      </c>
    </row>
    <row r="39" spans="1:5" ht="24.75">
      <c r="A39" s="11" t="s">
        <v>363</v>
      </c>
      <c r="B39" s="11" t="s">
        <v>233</v>
      </c>
      <c r="C39" s="11" t="s">
        <v>214</v>
      </c>
      <c r="D39" s="11" t="s">
        <v>3163</v>
      </c>
      <c r="E39" s="11">
        <v>1</v>
      </c>
    </row>
    <row r="40" spans="1:5" ht="24.75">
      <c r="A40" s="11" t="s">
        <v>363</v>
      </c>
      <c r="B40" s="11" t="s">
        <v>233</v>
      </c>
      <c r="C40" s="11" t="s">
        <v>214</v>
      </c>
      <c r="D40" s="11" t="s">
        <v>3164</v>
      </c>
      <c r="E40" s="11">
        <v>1</v>
      </c>
    </row>
    <row r="41" spans="1:5" ht="24.75">
      <c r="A41" s="11" t="s">
        <v>363</v>
      </c>
      <c r="B41" s="11" t="s">
        <v>233</v>
      </c>
      <c r="C41" s="11" t="s">
        <v>214</v>
      </c>
      <c r="D41" s="11" t="s">
        <v>3165</v>
      </c>
      <c r="E41" s="11">
        <v>1</v>
      </c>
    </row>
    <row r="42" spans="1:5" ht="24.75">
      <c r="A42" s="11" t="s">
        <v>363</v>
      </c>
      <c r="B42" s="11" t="s">
        <v>233</v>
      </c>
      <c r="C42" s="11" t="s">
        <v>214</v>
      </c>
      <c r="D42" s="11" t="s">
        <v>3166</v>
      </c>
      <c r="E42" s="11">
        <v>1</v>
      </c>
    </row>
    <row r="43" spans="1:5" ht="24.75">
      <c r="A43" s="11" t="s">
        <v>363</v>
      </c>
      <c r="B43" s="11" t="s">
        <v>233</v>
      </c>
      <c r="C43" s="11" t="s">
        <v>214</v>
      </c>
      <c r="D43" s="11" t="s">
        <v>3167</v>
      </c>
      <c r="E43" s="11">
        <v>1</v>
      </c>
    </row>
    <row r="44" spans="1:5" ht="24.75">
      <c r="A44" s="11" t="s">
        <v>363</v>
      </c>
      <c r="B44" s="11" t="s">
        <v>233</v>
      </c>
      <c r="C44" s="11" t="s">
        <v>214</v>
      </c>
      <c r="D44" s="11" t="s">
        <v>3168</v>
      </c>
      <c r="E44" s="11">
        <v>1</v>
      </c>
    </row>
    <row r="45" spans="1:5" ht="24.75">
      <c r="A45" s="11" t="s">
        <v>363</v>
      </c>
      <c r="B45" s="11" t="s">
        <v>233</v>
      </c>
      <c r="C45" s="11" t="s">
        <v>214</v>
      </c>
      <c r="D45" s="11" t="s">
        <v>3169</v>
      </c>
      <c r="E45" s="11">
        <v>1</v>
      </c>
    </row>
    <row r="46" spans="1:5" ht="24.75">
      <c r="A46" s="11" t="s">
        <v>363</v>
      </c>
      <c r="B46" s="11" t="s">
        <v>233</v>
      </c>
      <c r="C46" s="11" t="s">
        <v>214</v>
      </c>
      <c r="D46" s="11" t="s">
        <v>3170</v>
      </c>
      <c r="E46" s="11">
        <v>1</v>
      </c>
    </row>
    <row r="47" spans="1:5" ht="24.75">
      <c r="A47" s="11" t="s">
        <v>363</v>
      </c>
      <c r="B47" s="11" t="s">
        <v>233</v>
      </c>
      <c r="C47" s="11" t="s">
        <v>214</v>
      </c>
      <c r="D47" s="11" t="s">
        <v>3171</v>
      </c>
      <c r="E47" s="11">
        <v>1</v>
      </c>
    </row>
    <row r="48" spans="1:5" ht="24.75">
      <c r="A48" s="11" t="s">
        <v>363</v>
      </c>
      <c r="B48" s="11" t="s">
        <v>233</v>
      </c>
      <c r="C48" s="11" t="s">
        <v>214</v>
      </c>
      <c r="D48" s="11" t="s">
        <v>3172</v>
      </c>
      <c r="E48" s="11">
        <v>1</v>
      </c>
    </row>
    <row r="49" spans="1:5" ht="24.75">
      <c r="A49" s="11" t="s">
        <v>363</v>
      </c>
      <c r="B49" s="11" t="s">
        <v>233</v>
      </c>
      <c r="C49" s="11" t="s">
        <v>214</v>
      </c>
      <c r="D49" s="11" t="s">
        <v>3173</v>
      </c>
      <c r="E49" s="11">
        <v>1</v>
      </c>
    </row>
    <row r="50" spans="1:5" ht="24.75">
      <c r="A50" s="11" t="s">
        <v>363</v>
      </c>
      <c r="B50" s="11" t="s">
        <v>233</v>
      </c>
      <c r="C50" s="11" t="s">
        <v>214</v>
      </c>
      <c r="D50" s="11" t="s">
        <v>3174</v>
      </c>
      <c r="E50" s="11">
        <v>1</v>
      </c>
    </row>
    <row r="51" spans="1:5" ht="24.75">
      <c r="A51" s="11" t="s">
        <v>363</v>
      </c>
      <c r="B51" s="11" t="s">
        <v>233</v>
      </c>
      <c r="C51" s="11" t="s">
        <v>214</v>
      </c>
      <c r="D51" s="11" t="s">
        <v>3175</v>
      </c>
      <c r="E51" s="11">
        <v>1</v>
      </c>
    </row>
    <row r="52" spans="1:5" ht="24.75">
      <c r="A52" s="11" t="s">
        <v>363</v>
      </c>
      <c r="B52" s="11" t="s">
        <v>233</v>
      </c>
      <c r="C52" s="11" t="s">
        <v>214</v>
      </c>
      <c r="D52" s="11" t="s">
        <v>3176</v>
      </c>
      <c r="E52" s="11">
        <v>1</v>
      </c>
    </row>
    <row r="53" spans="1:5" ht="24.75">
      <c r="A53" s="11" t="s">
        <v>363</v>
      </c>
      <c r="B53" s="11" t="s">
        <v>233</v>
      </c>
      <c r="C53" s="11" t="s">
        <v>214</v>
      </c>
      <c r="D53" s="11" t="s">
        <v>3177</v>
      </c>
      <c r="E53" s="11">
        <v>1</v>
      </c>
    </row>
    <row r="54" spans="1:5" ht="24.75">
      <c r="A54" s="11" t="s">
        <v>363</v>
      </c>
      <c r="B54" s="11" t="s">
        <v>233</v>
      </c>
      <c r="C54" s="11" t="s">
        <v>214</v>
      </c>
      <c r="D54" s="11" t="s">
        <v>3178</v>
      </c>
      <c r="E54" s="11">
        <v>1</v>
      </c>
    </row>
    <row r="55" spans="1:5" ht="24.75">
      <c r="A55" s="11" t="s">
        <v>363</v>
      </c>
      <c r="B55" s="11" t="s">
        <v>233</v>
      </c>
      <c r="C55" s="11" t="s">
        <v>214</v>
      </c>
      <c r="D55" s="11" t="s">
        <v>3179</v>
      </c>
      <c r="E55" s="11">
        <v>1</v>
      </c>
    </row>
    <row r="56" spans="1:5" ht="24.75">
      <c r="A56" s="11" t="s">
        <v>363</v>
      </c>
      <c r="B56" s="11" t="s">
        <v>233</v>
      </c>
      <c r="C56" s="11" t="s">
        <v>214</v>
      </c>
      <c r="D56" s="11" t="s">
        <v>3180</v>
      </c>
      <c r="E56" s="11">
        <v>1</v>
      </c>
    </row>
    <row r="57" spans="1:5" ht="24.75">
      <c r="A57" s="11" t="s">
        <v>363</v>
      </c>
      <c r="B57" s="11" t="s">
        <v>233</v>
      </c>
      <c r="C57" s="11" t="s">
        <v>214</v>
      </c>
      <c r="D57" s="11" t="s">
        <v>3181</v>
      </c>
      <c r="E57" s="11">
        <v>1</v>
      </c>
    </row>
    <row r="58" spans="1:5" ht="24.75">
      <c r="A58" s="11" t="s">
        <v>363</v>
      </c>
      <c r="B58" s="11" t="s">
        <v>233</v>
      </c>
      <c r="C58" s="11" t="s">
        <v>214</v>
      </c>
      <c r="D58" s="11" t="s">
        <v>3182</v>
      </c>
      <c r="E58" s="11">
        <v>1</v>
      </c>
    </row>
    <row r="59" spans="1:5" ht="24.75">
      <c r="A59" s="11" t="s">
        <v>363</v>
      </c>
      <c r="B59" s="11" t="s">
        <v>233</v>
      </c>
      <c r="C59" s="11" t="s">
        <v>214</v>
      </c>
      <c r="D59" s="11" t="s">
        <v>3183</v>
      </c>
      <c r="E59" s="11">
        <v>1</v>
      </c>
    </row>
    <row r="60" spans="1:5" ht="24.75">
      <c r="A60" s="11" t="s">
        <v>363</v>
      </c>
      <c r="B60" s="11" t="s">
        <v>233</v>
      </c>
      <c r="C60" s="11" t="s">
        <v>214</v>
      </c>
      <c r="D60" s="11" t="s">
        <v>3184</v>
      </c>
      <c r="E60" s="11">
        <v>1</v>
      </c>
    </row>
    <row r="61" spans="1:5" ht="24.75">
      <c r="A61" s="11" t="s">
        <v>363</v>
      </c>
      <c r="B61" s="11" t="s">
        <v>233</v>
      </c>
      <c r="C61" s="11" t="s">
        <v>214</v>
      </c>
      <c r="D61" s="11" t="s">
        <v>3185</v>
      </c>
      <c r="E61" s="11">
        <v>1</v>
      </c>
    </row>
    <row r="62" spans="1:5" ht="24.75">
      <c r="A62" s="11" t="s">
        <v>363</v>
      </c>
      <c r="B62" s="11" t="s">
        <v>233</v>
      </c>
      <c r="C62" s="11" t="s">
        <v>214</v>
      </c>
      <c r="D62" s="11" t="s">
        <v>3186</v>
      </c>
      <c r="E62" s="11">
        <v>1</v>
      </c>
    </row>
    <row r="63" spans="1:5" ht="24.75">
      <c r="A63" s="11" t="s">
        <v>363</v>
      </c>
      <c r="B63" s="11" t="s">
        <v>233</v>
      </c>
      <c r="C63" s="11" t="s">
        <v>214</v>
      </c>
      <c r="D63" s="11" t="s">
        <v>3187</v>
      </c>
      <c r="E63" s="11">
        <v>1</v>
      </c>
    </row>
    <row r="64" spans="1:5" ht="24.75">
      <c r="A64" s="11" t="s">
        <v>363</v>
      </c>
      <c r="B64" s="11" t="s">
        <v>233</v>
      </c>
      <c r="C64" s="11" t="s">
        <v>214</v>
      </c>
      <c r="D64" s="11" t="s">
        <v>3188</v>
      </c>
      <c r="E64" s="11">
        <v>1</v>
      </c>
    </row>
    <row r="65" spans="1:5" ht="24.75">
      <c r="A65" s="11" t="s">
        <v>363</v>
      </c>
      <c r="B65" s="11" t="s">
        <v>233</v>
      </c>
      <c r="C65" s="11" t="s">
        <v>214</v>
      </c>
      <c r="D65" s="11" t="s">
        <v>3189</v>
      </c>
      <c r="E65" s="11">
        <v>1</v>
      </c>
    </row>
    <row r="66" spans="1:5" ht="24.75">
      <c r="A66" s="11" t="s">
        <v>363</v>
      </c>
      <c r="B66" s="11" t="s">
        <v>233</v>
      </c>
      <c r="C66" s="11" t="s">
        <v>214</v>
      </c>
      <c r="D66" s="11" t="s">
        <v>3190</v>
      </c>
      <c r="E66" s="11">
        <v>1</v>
      </c>
    </row>
    <row r="67" spans="1:5" ht="24.75">
      <c r="A67" s="11" t="s">
        <v>363</v>
      </c>
      <c r="B67" s="11" t="s">
        <v>233</v>
      </c>
      <c r="C67" s="11" t="s">
        <v>214</v>
      </c>
      <c r="D67" s="11" t="s">
        <v>3191</v>
      </c>
      <c r="E67" s="11">
        <v>1</v>
      </c>
    </row>
    <row r="68" spans="1:5" ht="24.75">
      <c r="A68" s="11" t="s">
        <v>363</v>
      </c>
      <c r="B68" s="11" t="s">
        <v>233</v>
      </c>
      <c r="C68" s="11" t="s">
        <v>214</v>
      </c>
      <c r="D68" s="11" t="s">
        <v>3192</v>
      </c>
      <c r="E68" s="11">
        <v>1</v>
      </c>
    </row>
    <row r="69" spans="1:5" ht="24.75">
      <c r="A69" s="11" t="s">
        <v>363</v>
      </c>
      <c r="B69" s="11" t="s">
        <v>233</v>
      </c>
      <c r="C69" s="11" t="s">
        <v>214</v>
      </c>
      <c r="D69" s="11" t="s">
        <v>3193</v>
      </c>
      <c r="E69" s="11">
        <v>1</v>
      </c>
    </row>
    <row r="70" spans="1:5" ht="24.75">
      <c r="A70" s="11" t="s">
        <v>363</v>
      </c>
      <c r="B70" s="11" t="s">
        <v>233</v>
      </c>
      <c r="C70" s="11" t="s">
        <v>214</v>
      </c>
      <c r="D70" s="11" t="s">
        <v>3194</v>
      </c>
      <c r="E70" s="11">
        <v>1</v>
      </c>
    </row>
    <row r="71" spans="1:5" ht="24.75">
      <c r="A71" s="11" t="s">
        <v>363</v>
      </c>
      <c r="B71" s="11" t="s">
        <v>233</v>
      </c>
      <c r="C71" s="11" t="s">
        <v>214</v>
      </c>
      <c r="D71" s="11" t="s">
        <v>3195</v>
      </c>
      <c r="E71" s="11">
        <v>1</v>
      </c>
    </row>
    <row r="72" spans="1:5" ht="24.75">
      <c r="A72" s="11" t="s">
        <v>363</v>
      </c>
      <c r="B72" s="11" t="s">
        <v>233</v>
      </c>
      <c r="C72" s="11" t="s">
        <v>214</v>
      </c>
      <c r="D72" s="11" t="s">
        <v>3196</v>
      </c>
      <c r="E72" s="11">
        <v>1</v>
      </c>
    </row>
    <row r="73" spans="1:5" ht="24.75">
      <c r="A73" s="11" t="s">
        <v>363</v>
      </c>
      <c r="B73" s="11" t="s">
        <v>233</v>
      </c>
      <c r="C73" s="11" t="s">
        <v>214</v>
      </c>
      <c r="D73" s="11" t="s">
        <v>3197</v>
      </c>
      <c r="E73" s="11">
        <v>1</v>
      </c>
    </row>
    <row r="74" spans="1:5" ht="24.75">
      <c r="A74" s="11" t="s">
        <v>363</v>
      </c>
      <c r="B74" s="11" t="s">
        <v>233</v>
      </c>
      <c r="C74" s="11" t="s">
        <v>214</v>
      </c>
      <c r="D74" s="11" t="s">
        <v>3198</v>
      </c>
      <c r="E74" s="11">
        <v>1</v>
      </c>
    </row>
    <row r="75" spans="1:5" ht="24.75">
      <c r="A75" s="11" t="s">
        <v>363</v>
      </c>
      <c r="B75" s="11" t="s">
        <v>233</v>
      </c>
      <c r="C75" s="11" t="s">
        <v>214</v>
      </c>
      <c r="D75" s="11" t="s">
        <v>3199</v>
      </c>
      <c r="E75" s="11">
        <v>1</v>
      </c>
    </row>
    <row r="76" spans="1:5">
      <c r="A76" s="1" t="s">
        <v>207</v>
      </c>
      <c r="B76" s="1" t="s">
        <v>207</v>
      </c>
      <c r="C76" s="1">
        <f>SUBTOTAL(103,Elements132431[Elemento])</f>
        <v>69</v>
      </c>
      <c r="D76" s="1" t="s">
        <v>207</v>
      </c>
      <c r="E76" s="1">
        <f>SUBTOTAL(109,Elements132431[Totais:])</f>
        <v>69</v>
      </c>
    </row>
  </sheetData>
  <mergeCells count="3">
    <mergeCell ref="A1:E2"/>
    <mergeCell ref="A4:E4"/>
    <mergeCell ref="A5:E5"/>
  </mergeCells>
  <hyperlinks>
    <hyperlink ref="A1" location="'13.2.43'!A1" display="JOELHO 90º SOLDAVEL E COM BUCHA DE LATAO,COM DIAMETRO DE 25M MX3/4&amp;quot;.FORNECIMENTO" xr:uid="{00000000-0004-0000-5E00-000000000000}"/>
    <hyperlink ref="B1" location="'13.2.43'!A1" display="JOELHO 90º SOLDAVEL E COM BUCHA DE LATAO,COM DIAMETRO DE 25M MX3/4&amp;quot;.FORNECIMENTO" xr:uid="{00000000-0004-0000-5E00-000001000000}"/>
    <hyperlink ref="C1" location="'13.2.43'!A1" display="JOELHO 90º SOLDAVEL E COM BUCHA DE LATAO,COM DIAMETRO DE 25M MX3/4&amp;quot;.FORNECIMENTO" xr:uid="{00000000-0004-0000-5E00-000002000000}"/>
    <hyperlink ref="D1" location="'13.2.43'!A1" display="JOELHO 90º SOLDAVEL E COM BUCHA DE LATAO,COM DIAMETRO DE 25M MX3/4&amp;quot;.FORNECIMENTO" xr:uid="{00000000-0004-0000-5E00-000003000000}"/>
    <hyperlink ref="E1" location="'13.2.43'!A1" display="JOELHO 90º SOLDAVEL E COM BUCHA DE LATAO,COM DIAMETRO DE 25M MX3/4&amp;quot;.FORNECIMENTO" xr:uid="{00000000-0004-0000-5E00-000004000000}"/>
    <hyperlink ref="A2" location="'13.2.43'!A1" display="JOELHO 90º SOLDAVEL E COM BUCHA DE LATAO,COM DIAMETRO DE 25M MX3/4&amp;quot;.FORNECIMENTO" xr:uid="{00000000-0004-0000-5E00-000005000000}"/>
    <hyperlink ref="B2" location="'13.2.43'!A1" display="JOELHO 90º SOLDAVEL E COM BUCHA DE LATAO,COM DIAMETRO DE 25M MX3/4&amp;quot;.FORNECIMENTO" xr:uid="{00000000-0004-0000-5E00-000006000000}"/>
    <hyperlink ref="C2" location="'13.2.43'!A1" display="JOELHO 90º SOLDAVEL E COM BUCHA DE LATAO,COM DIAMETRO DE 25M MX3/4&amp;quot;.FORNECIMENTO" xr:uid="{00000000-0004-0000-5E00-000007000000}"/>
    <hyperlink ref="D2" location="'13.2.43'!A1" display="JOELHO 90º SOLDAVEL E COM BUCHA DE LATAO,COM DIAMETRO DE 25M MX3/4&amp;quot;.FORNECIMENTO" xr:uid="{00000000-0004-0000-5E00-000008000000}"/>
    <hyperlink ref="E2" location="'13.2.43'!A1" display="JOELHO 90º SOLDAVEL E COM BUCHA DE LATAO,COM DIAMETRO DE 25M MX3/4&amp;quot;.FORNECIMENTO" xr:uid="{00000000-0004-0000-5E00-000009000000}"/>
    <hyperlink ref="A4" location="'13.2.43'!A1" display="Conexões de tubo (Afastamento)" xr:uid="{00000000-0004-0000-5E00-00000A000000}"/>
    <hyperlink ref="B4" location="'13.2.43'!A1" display="Conexões de tubo (Afastamento)" xr:uid="{00000000-0004-0000-5E00-00000B000000}"/>
    <hyperlink ref="C4" location="'13.2.43'!A1" display="Conexões de tubo (Afastamento)" xr:uid="{00000000-0004-0000-5E00-00000C000000}"/>
    <hyperlink ref="D4" location="'13.2.43'!A1" display="Conexões de tubo (Afastamento)" xr:uid="{00000000-0004-0000-5E00-00000D000000}"/>
    <hyperlink ref="E4" location="'13.2.43'!A1" display="Conexões de tubo (Afastamento)" xr:uid="{00000000-0004-0000-5E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F00-000000000000}">
  <dimension ref="A1:E27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178</v>
      </c>
      <c r="B1" s="23" t="s">
        <v>178</v>
      </c>
      <c r="C1" s="23" t="s">
        <v>178</v>
      </c>
      <c r="D1" s="23" t="s">
        <v>178</v>
      </c>
      <c r="E1" s="23" t="s">
        <v>178</v>
      </c>
    </row>
    <row r="2" spans="1:5">
      <c r="A2" s="23" t="s">
        <v>178</v>
      </c>
      <c r="B2" s="23" t="s">
        <v>178</v>
      </c>
      <c r="C2" s="23" t="s">
        <v>178</v>
      </c>
      <c r="D2" s="23" t="s">
        <v>178</v>
      </c>
      <c r="E2" s="23" t="s">
        <v>178</v>
      </c>
    </row>
    <row r="4" spans="1:5">
      <c r="A4" s="18" t="s">
        <v>206</v>
      </c>
      <c r="B4" s="18" t="s">
        <v>206</v>
      </c>
      <c r="C4" s="18" t="s">
        <v>206</v>
      </c>
      <c r="D4" s="18" t="s">
        <v>206</v>
      </c>
      <c r="E4" s="18" t="s">
        <v>206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3200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3201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3202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3203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3204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3205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214</v>
      </c>
      <c r="D13" s="11" t="s">
        <v>3206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214</v>
      </c>
      <c r="D14" s="11" t="s">
        <v>3207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214</v>
      </c>
      <c r="D15" s="11" t="s">
        <v>3208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214</v>
      </c>
      <c r="D16" s="11" t="s">
        <v>3209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214</v>
      </c>
      <c r="D17" s="11" t="s">
        <v>3210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214</v>
      </c>
      <c r="D18" s="11" t="s">
        <v>3211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214</v>
      </c>
      <c r="D19" s="11" t="s">
        <v>3212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214</v>
      </c>
      <c r="D20" s="11" t="s">
        <v>3213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214</v>
      </c>
      <c r="D21" s="11" t="s">
        <v>3214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214</v>
      </c>
      <c r="D22" s="11" t="s">
        <v>3215</v>
      </c>
      <c r="E22" s="11">
        <v>1</v>
      </c>
    </row>
    <row r="23" spans="1:5" ht="24.75">
      <c r="A23" s="11" t="s">
        <v>363</v>
      </c>
      <c r="B23" s="11" t="s">
        <v>233</v>
      </c>
      <c r="C23" s="11" t="s">
        <v>214</v>
      </c>
      <c r="D23" s="11" t="s">
        <v>3216</v>
      </c>
      <c r="E23" s="11">
        <v>1</v>
      </c>
    </row>
    <row r="24" spans="1:5" ht="24.75">
      <c r="A24" s="11" t="s">
        <v>363</v>
      </c>
      <c r="B24" s="11" t="s">
        <v>233</v>
      </c>
      <c r="C24" s="11" t="s">
        <v>214</v>
      </c>
      <c r="D24" s="11" t="s">
        <v>3217</v>
      </c>
      <c r="E24" s="11">
        <v>1</v>
      </c>
    </row>
    <row r="25" spans="1:5" ht="24.75">
      <c r="A25" s="11" t="s">
        <v>363</v>
      </c>
      <c r="B25" s="11" t="s">
        <v>233</v>
      </c>
      <c r="C25" s="11" t="s">
        <v>214</v>
      </c>
      <c r="D25" s="11" t="s">
        <v>3218</v>
      </c>
      <c r="E25" s="11">
        <v>1</v>
      </c>
    </row>
    <row r="26" spans="1:5" ht="24.75">
      <c r="A26" s="11" t="s">
        <v>363</v>
      </c>
      <c r="B26" s="11" t="s">
        <v>233</v>
      </c>
      <c r="C26" s="11" t="s">
        <v>214</v>
      </c>
      <c r="D26" s="11" t="s">
        <v>3219</v>
      </c>
      <c r="E26" s="11">
        <v>1</v>
      </c>
    </row>
    <row r="27" spans="1:5">
      <c r="A27" s="1" t="s">
        <v>207</v>
      </c>
      <c r="B27" s="1" t="s">
        <v>207</v>
      </c>
      <c r="C27" s="1">
        <f>SUBTOTAL(103,Elements132441[Elemento])</f>
        <v>20</v>
      </c>
      <c r="D27" s="1" t="s">
        <v>207</v>
      </c>
      <c r="E27" s="1">
        <f>SUBTOTAL(109,Elements132441[Totais:])</f>
        <v>20</v>
      </c>
    </row>
  </sheetData>
  <mergeCells count="3">
    <mergeCell ref="A1:E2"/>
    <mergeCell ref="A4:E4"/>
    <mergeCell ref="A5:E5"/>
  </mergeCells>
  <hyperlinks>
    <hyperlink ref="A1" location="'13.2.44'!A1" display="UNIAO SOLDAVEL,COM DIAMETRO DE 50MM.FORNECIMENTO" xr:uid="{00000000-0004-0000-5F00-000000000000}"/>
    <hyperlink ref="B1" location="'13.2.44'!A1" display="UNIAO SOLDAVEL,COM DIAMETRO DE 50MM.FORNECIMENTO" xr:uid="{00000000-0004-0000-5F00-000001000000}"/>
    <hyperlink ref="C1" location="'13.2.44'!A1" display="UNIAO SOLDAVEL,COM DIAMETRO DE 50MM.FORNECIMENTO" xr:uid="{00000000-0004-0000-5F00-000002000000}"/>
    <hyperlink ref="D1" location="'13.2.44'!A1" display="UNIAO SOLDAVEL,COM DIAMETRO DE 50MM.FORNECIMENTO" xr:uid="{00000000-0004-0000-5F00-000003000000}"/>
    <hyperlink ref="E1" location="'13.2.44'!A1" display="UNIAO SOLDAVEL,COM DIAMETRO DE 50MM.FORNECIMENTO" xr:uid="{00000000-0004-0000-5F00-000004000000}"/>
    <hyperlink ref="A2" location="'13.2.44'!A1" display="UNIAO SOLDAVEL,COM DIAMETRO DE 50MM.FORNECIMENTO" xr:uid="{00000000-0004-0000-5F00-000005000000}"/>
    <hyperlink ref="B2" location="'13.2.44'!A1" display="UNIAO SOLDAVEL,COM DIAMETRO DE 50MM.FORNECIMENTO" xr:uid="{00000000-0004-0000-5F00-000006000000}"/>
    <hyperlink ref="C2" location="'13.2.44'!A1" display="UNIAO SOLDAVEL,COM DIAMETRO DE 50MM.FORNECIMENTO" xr:uid="{00000000-0004-0000-5F00-000007000000}"/>
    <hyperlink ref="D2" location="'13.2.44'!A1" display="UNIAO SOLDAVEL,COM DIAMETRO DE 50MM.FORNECIMENTO" xr:uid="{00000000-0004-0000-5F00-000008000000}"/>
    <hyperlink ref="E2" location="'13.2.44'!A1" display="UNIAO SOLDAVEL,COM DIAMETRO DE 50MM.FORNECIMENTO" xr:uid="{00000000-0004-0000-5F00-000009000000}"/>
    <hyperlink ref="A4" location="'13.2.44'!A1" display="Conexões de tubo (Afastamento)" xr:uid="{00000000-0004-0000-5F00-00000A000000}"/>
    <hyperlink ref="B4" location="'13.2.44'!A1" display="Conexões de tubo (Afastamento)" xr:uid="{00000000-0004-0000-5F00-00000B000000}"/>
    <hyperlink ref="C4" location="'13.2.44'!A1" display="Conexões de tubo (Afastamento)" xr:uid="{00000000-0004-0000-5F00-00000C000000}"/>
    <hyperlink ref="D4" location="'13.2.44'!A1" display="Conexões de tubo (Afastamento)" xr:uid="{00000000-0004-0000-5F00-00000D000000}"/>
    <hyperlink ref="E4" location="'13.2.44'!A1" display="Conexões de tubo (Afastamento)" xr:uid="{00000000-0004-0000-5F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000-000000000000}">
  <dimension ref="A1:E51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182</v>
      </c>
      <c r="B1" s="23" t="s">
        <v>182</v>
      </c>
      <c r="C1" s="23" t="s">
        <v>182</v>
      </c>
      <c r="D1" s="23" t="s">
        <v>182</v>
      </c>
      <c r="E1" s="23" t="s">
        <v>182</v>
      </c>
    </row>
    <row r="2" spans="1:5">
      <c r="A2" s="23" t="s">
        <v>182</v>
      </c>
      <c r="B2" s="23" t="s">
        <v>182</v>
      </c>
      <c r="C2" s="23" t="s">
        <v>182</v>
      </c>
      <c r="D2" s="23" t="s">
        <v>182</v>
      </c>
      <c r="E2" s="23" t="s">
        <v>182</v>
      </c>
    </row>
    <row r="4" spans="1:5">
      <c r="A4" s="18" t="s">
        <v>206</v>
      </c>
      <c r="B4" s="18" t="s">
        <v>206</v>
      </c>
      <c r="C4" s="18" t="s">
        <v>206</v>
      </c>
      <c r="D4" s="18" t="s">
        <v>206</v>
      </c>
      <c r="E4" s="18" t="s">
        <v>206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214</v>
      </c>
      <c r="D7" s="11" t="s">
        <v>3220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214</v>
      </c>
      <c r="D8" s="11" t="s">
        <v>3221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214</v>
      </c>
      <c r="D9" s="11" t="s">
        <v>3222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214</v>
      </c>
      <c r="D10" s="11" t="s">
        <v>3223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214</v>
      </c>
      <c r="D11" s="11" t="s">
        <v>3224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214</v>
      </c>
      <c r="D12" s="11" t="s">
        <v>3225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214</v>
      </c>
      <c r="D13" s="11" t="s">
        <v>3226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214</v>
      </c>
      <c r="D14" s="11" t="s">
        <v>3227</v>
      </c>
      <c r="E14" s="11">
        <v>1</v>
      </c>
    </row>
    <row r="15" spans="1:5" ht="24.75">
      <c r="A15" s="11" t="s">
        <v>363</v>
      </c>
      <c r="B15" s="11" t="s">
        <v>233</v>
      </c>
      <c r="C15" s="11" t="s">
        <v>214</v>
      </c>
      <c r="D15" s="11" t="s">
        <v>3228</v>
      </c>
      <c r="E15" s="11">
        <v>1</v>
      </c>
    </row>
    <row r="16" spans="1:5" ht="24.75">
      <c r="A16" s="11" t="s">
        <v>363</v>
      </c>
      <c r="B16" s="11" t="s">
        <v>233</v>
      </c>
      <c r="C16" s="11" t="s">
        <v>214</v>
      </c>
      <c r="D16" s="11" t="s">
        <v>3229</v>
      </c>
      <c r="E16" s="11">
        <v>1</v>
      </c>
    </row>
    <row r="17" spans="1:5" ht="24.75">
      <c r="A17" s="11" t="s">
        <v>363</v>
      </c>
      <c r="B17" s="11" t="s">
        <v>233</v>
      </c>
      <c r="C17" s="11" t="s">
        <v>214</v>
      </c>
      <c r="D17" s="11" t="s">
        <v>3230</v>
      </c>
      <c r="E17" s="11">
        <v>1</v>
      </c>
    </row>
    <row r="18" spans="1:5" ht="24.75">
      <c r="A18" s="11" t="s">
        <v>363</v>
      </c>
      <c r="B18" s="11" t="s">
        <v>233</v>
      </c>
      <c r="C18" s="11" t="s">
        <v>214</v>
      </c>
      <c r="D18" s="11" t="s">
        <v>3231</v>
      </c>
      <c r="E18" s="11">
        <v>1</v>
      </c>
    </row>
    <row r="19" spans="1:5" ht="24.75">
      <c r="A19" s="11" t="s">
        <v>363</v>
      </c>
      <c r="B19" s="11" t="s">
        <v>233</v>
      </c>
      <c r="C19" s="11" t="s">
        <v>214</v>
      </c>
      <c r="D19" s="11" t="s">
        <v>3232</v>
      </c>
      <c r="E19" s="11">
        <v>1</v>
      </c>
    </row>
    <row r="20" spans="1:5" ht="24.75">
      <c r="A20" s="11" t="s">
        <v>363</v>
      </c>
      <c r="B20" s="11" t="s">
        <v>233</v>
      </c>
      <c r="C20" s="11" t="s">
        <v>214</v>
      </c>
      <c r="D20" s="11" t="s">
        <v>3233</v>
      </c>
      <c r="E20" s="11">
        <v>1</v>
      </c>
    </row>
    <row r="21" spans="1:5" ht="24.75">
      <c r="A21" s="11" t="s">
        <v>363</v>
      </c>
      <c r="B21" s="11" t="s">
        <v>233</v>
      </c>
      <c r="C21" s="11" t="s">
        <v>214</v>
      </c>
      <c r="D21" s="11" t="s">
        <v>3234</v>
      </c>
      <c r="E21" s="11">
        <v>1</v>
      </c>
    </row>
    <row r="22" spans="1:5" ht="24.75">
      <c r="A22" s="11" t="s">
        <v>363</v>
      </c>
      <c r="B22" s="11" t="s">
        <v>233</v>
      </c>
      <c r="C22" s="11" t="s">
        <v>214</v>
      </c>
      <c r="D22" s="11" t="s">
        <v>3235</v>
      </c>
      <c r="E22" s="11">
        <v>1</v>
      </c>
    </row>
    <row r="23" spans="1:5" ht="24.75">
      <c r="A23" s="11" t="s">
        <v>363</v>
      </c>
      <c r="B23" s="11" t="s">
        <v>233</v>
      </c>
      <c r="C23" s="11" t="s">
        <v>214</v>
      </c>
      <c r="D23" s="11" t="s">
        <v>3236</v>
      </c>
      <c r="E23" s="11">
        <v>1</v>
      </c>
    </row>
    <row r="24" spans="1:5" ht="24.75">
      <c r="A24" s="11" t="s">
        <v>363</v>
      </c>
      <c r="B24" s="11" t="s">
        <v>233</v>
      </c>
      <c r="C24" s="11" t="s">
        <v>214</v>
      </c>
      <c r="D24" s="11" t="s">
        <v>3237</v>
      </c>
      <c r="E24" s="11">
        <v>1</v>
      </c>
    </row>
    <row r="25" spans="1:5" ht="24.75">
      <c r="A25" s="11" t="s">
        <v>363</v>
      </c>
      <c r="B25" s="11" t="s">
        <v>233</v>
      </c>
      <c r="C25" s="11" t="s">
        <v>214</v>
      </c>
      <c r="D25" s="11" t="s">
        <v>3238</v>
      </c>
      <c r="E25" s="11">
        <v>1</v>
      </c>
    </row>
    <row r="26" spans="1:5" ht="24.75">
      <c r="A26" s="11" t="s">
        <v>363</v>
      </c>
      <c r="B26" s="11" t="s">
        <v>233</v>
      </c>
      <c r="C26" s="11" t="s">
        <v>214</v>
      </c>
      <c r="D26" s="11" t="s">
        <v>3239</v>
      </c>
      <c r="E26" s="11">
        <v>1</v>
      </c>
    </row>
    <row r="27" spans="1:5" ht="24.75">
      <c r="A27" s="11" t="s">
        <v>363</v>
      </c>
      <c r="B27" s="11" t="s">
        <v>233</v>
      </c>
      <c r="C27" s="11" t="s">
        <v>214</v>
      </c>
      <c r="D27" s="11" t="s">
        <v>3240</v>
      </c>
      <c r="E27" s="11">
        <v>1</v>
      </c>
    </row>
    <row r="28" spans="1:5" ht="24.75">
      <c r="A28" s="11" t="s">
        <v>363</v>
      </c>
      <c r="B28" s="11" t="s">
        <v>233</v>
      </c>
      <c r="C28" s="11" t="s">
        <v>214</v>
      </c>
      <c r="D28" s="11" t="s">
        <v>3241</v>
      </c>
      <c r="E28" s="11">
        <v>1</v>
      </c>
    </row>
    <row r="29" spans="1:5" ht="24.75">
      <c r="A29" s="11" t="s">
        <v>363</v>
      </c>
      <c r="B29" s="11" t="s">
        <v>233</v>
      </c>
      <c r="C29" s="11" t="s">
        <v>214</v>
      </c>
      <c r="D29" s="11" t="s">
        <v>3242</v>
      </c>
      <c r="E29" s="11">
        <v>1</v>
      </c>
    </row>
    <row r="30" spans="1:5" ht="24.75">
      <c r="A30" s="11" t="s">
        <v>363</v>
      </c>
      <c r="B30" s="11" t="s">
        <v>233</v>
      </c>
      <c r="C30" s="11" t="s">
        <v>214</v>
      </c>
      <c r="D30" s="11" t="s">
        <v>3243</v>
      </c>
      <c r="E30" s="11">
        <v>1</v>
      </c>
    </row>
    <row r="31" spans="1:5" ht="24.75">
      <c r="A31" s="11" t="s">
        <v>363</v>
      </c>
      <c r="B31" s="11" t="s">
        <v>233</v>
      </c>
      <c r="C31" s="11" t="s">
        <v>214</v>
      </c>
      <c r="D31" s="11" t="s">
        <v>3244</v>
      </c>
      <c r="E31" s="11">
        <v>1</v>
      </c>
    </row>
    <row r="32" spans="1:5" ht="24.75">
      <c r="A32" s="11" t="s">
        <v>363</v>
      </c>
      <c r="B32" s="11" t="s">
        <v>233</v>
      </c>
      <c r="C32" s="11" t="s">
        <v>214</v>
      </c>
      <c r="D32" s="11" t="s">
        <v>3245</v>
      </c>
      <c r="E32" s="11">
        <v>1</v>
      </c>
    </row>
    <row r="33" spans="1:5" ht="24.75">
      <c r="A33" s="11" t="s">
        <v>363</v>
      </c>
      <c r="B33" s="11" t="s">
        <v>233</v>
      </c>
      <c r="C33" s="11" t="s">
        <v>214</v>
      </c>
      <c r="D33" s="11" t="s">
        <v>3246</v>
      </c>
      <c r="E33" s="11">
        <v>1</v>
      </c>
    </row>
    <row r="34" spans="1:5" ht="24.75">
      <c r="A34" s="11" t="s">
        <v>363</v>
      </c>
      <c r="B34" s="11" t="s">
        <v>233</v>
      </c>
      <c r="C34" s="11" t="s">
        <v>214</v>
      </c>
      <c r="D34" s="11" t="s">
        <v>3247</v>
      </c>
      <c r="E34" s="11">
        <v>1</v>
      </c>
    </row>
    <row r="35" spans="1:5" ht="24.75">
      <c r="A35" s="11" t="s">
        <v>363</v>
      </c>
      <c r="B35" s="11" t="s">
        <v>233</v>
      </c>
      <c r="C35" s="11" t="s">
        <v>214</v>
      </c>
      <c r="D35" s="11" t="s">
        <v>3248</v>
      </c>
      <c r="E35" s="11">
        <v>1</v>
      </c>
    </row>
    <row r="36" spans="1:5" ht="24.75">
      <c r="A36" s="11" t="s">
        <v>363</v>
      </c>
      <c r="B36" s="11" t="s">
        <v>233</v>
      </c>
      <c r="C36" s="11" t="s">
        <v>214</v>
      </c>
      <c r="D36" s="11" t="s">
        <v>3249</v>
      </c>
      <c r="E36" s="11">
        <v>1</v>
      </c>
    </row>
    <row r="37" spans="1:5" ht="24.75">
      <c r="A37" s="11" t="s">
        <v>363</v>
      </c>
      <c r="B37" s="11" t="s">
        <v>233</v>
      </c>
      <c r="C37" s="11" t="s">
        <v>214</v>
      </c>
      <c r="D37" s="11" t="s">
        <v>3250</v>
      </c>
      <c r="E37" s="11">
        <v>1</v>
      </c>
    </row>
    <row r="38" spans="1:5" ht="24.75">
      <c r="A38" s="11" t="s">
        <v>363</v>
      </c>
      <c r="B38" s="11" t="s">
        <v>233</v>
      </c>
      <c r="C38" s="11" t="s">
        <v>214</v>
      </c>
      <c r="D38" s="11" t="s">
        <v>3251</v>
      </c>
      <c r="E38" s="11">
        <v>1</v>
      </c>
    </row>
    <row r="39" spans="1:5" ht="24.75">
      <c r="A39" s="11" t="s">
        <v>363</v>
      </c>
      <c r="B39" s="11" t="s">
        <v>233</v>
      </c>
      <c r="C39" s="11" t="s">
        <v>214</v>
      </c>
      <c r="D39" s="11" t="s">
        <v>3252</v>
      </c>
      <c r="E39" s="11">
        <v>1</v>
      </c>
    </row>
    <row r="40" spans="1:5" ht="24.75">
      <c r="A40" s="11" t="s">
        <v>363</v>
      </c>
      <c r="B40" s="11" t="s">
        <v>233</v>
      </c>
      <c r="C40" s="11" t="s">
        <v>214</v>
      </c>
      <c r="D40" s="11" t="s">
        <v>3253</v>
      </c>
      <c r="E40" s="11">
        <v>1</v>
      </c>
    </row>
    <row r="41" spans="1:5" ht="24.75">
      <c r="A41" s="11" t="s">
        <v>363</v>
      </c>
      <c r="B41" s="11" t="s">
        <v>233</v>
      </c>
      <c r="C41" s="11" t="s">
        <v>214</v>
      </c>
      <c r="D41" s="11" t="s">
        <v>3254</v>
      </c>
      <c r="E41" s="11">
        <v>1</v>
      </c>
    </row>
    <row r="42" spans="1:5" ht="24.75">
      <c r="A42" s="11" t="s">
        <v>363</v>
      </c>
      <c r="B42" s="11" t="s">
        <v>233</v>
      </c>
      <c r="C42" s="11" t="s">
        <v>214</v>
      </c>
      <c r="D42" s="11" t="s">
        <v>3255</v>
      </c>
      <c r="E42" s="11">
        <v>1</v>
      </c>
    </row>
    <row r="43" spans="1:5" ht="24.75">
      <c r="A43" s="11" t="s">
        <v>363</v>
      </c>
      <c r="B43" s="11" t="s">
        <v>233</v>
      </c>
      <c r="C43" s="11" t="s">
        <v>214</v>
      </c>
      <c r="D43" s="11" t="s">
        <v>3256</v>
      </c>
      <c r="E43" s="11">
        <v>1</v>
      </c>
    </row>
    <row r="44" spans="1:5" ht="24.75">
      <c r="A44" s="11" t="s">
        <v>363</v>
      </c>
      <c r="B44" s="11" t="s">
        <v>233</v>
      </c>
      <c r="C44" s="11" t="s">
        <v>214</v>
      </c>
      <c r="D44" s="11" t="s">
        <v>3257</v>
      </c>
      <c r="E44" s="11">
        <v>1</v>
      </c>
    </row>
    <row r="45" spans="1:5" ht="24.75">
      <c r="A45" s="11" t="s">
        <v>363</v>
      </c>
      <c r="B45" s="11" t="s">
        <v>233</v>
      </c>
      <c r="C45" s="11" t="s">
        <v>214</v>
      </c>
      <c r="D45" s="11" t="s">
        <v>3258</v>
      </c>
      <c r="E45" s="11">
        <v>1</v>
      </c>
    </row>
    <row r="46" spans="1:5" ht="24.75">
      <c r="A46" s="11" t="s">
        <v>363</v>
      </c>
      <c r="B46" s="11" t="s">
        <v>233</v>
      </c>
      <c r="C46" s="11" t="s">
        <v>214</v>
      </c>
      <c r="D46" s="11" t="s">
        <v>3259</v>
      </c>
      <c r="E46" s="11">
        <v>1</v>
      </c>
    </row>
    <row r="47" spans="1:5" ht="24.75">
      <c r="A47" s="11" t="s">
        <v>363</v>
      </c>
      <c r="B47" s="11" t="s">
        <v>233</v>
      </c>
      <c r="C47" s="11" t="s">
        <v>214</v>
      </c>
      <c r="D47" s="11" t="s">
        <v>3260</v>
      </c>
      <c r="E47" s="11">
        <v>1</v>
      </c>
    </row>
    <row r="48" spans="1:5" ht="24.75">
      <c r="A48" s="11" t="s">
        <v>363</v>
      </c>
      <c r="B48" s="11" t="s">
        <v>233</v>
      </c>
      <c r="C48" s="11" t="s">
        <v>214</v>
      </c>
      <c r="D48" s="11" t="s">
        <v>3261</v>
      </c>
      <c r="E48" s="11">
        <v>1</v>
      </c>
    </row>
    <row r="49" spans="1:5" ht="24.75">
      <c r="A49" s="11" t="s">
        <v>363</v>
      </c>
      <c r="B49" s="11" t="s">
        <v>233</v>
      </c>
      <c r="C49" s="11" t="s">
        <v>214</v>
      </c>
      <c r="D49" s="11" t="s">
        <v>3262</v>
      </c>
      <c r="E49" s="11">
        <v>1</v>
      </c>
    </row>
    <row r="50" spans="1:5" ht="24.75">
      <c r="A50" s="11" t="s">
        <v>363</v>
      </c>
      <c r="B50" s="11" t="s">
        <v>233</v>
      </c>
      <c r="C50" s="11" t="s">
        <v>214</v>
      </c>
      <c r="D50" s="11" t="s">
        <v>3263</v>
      </c>
      <c r="E50" s="11">
        <v>1</v>
      </c>
    </row>
    <row r="51" spans="1:5">
      <c r="A51" s="1" t="s">
        <v>207</v>
      </c>
      <c r="B51" s="1" t="s">
        <v>207</v>
      </c>
      <c r="C51" s="1">
        <f>SUBTOTAL(103,Elements132451[Elemento])</f>
        <v>44</v>
      </c>
      <c r="D51" s="1" t="s">
        <v>207</v>
      </c>
      <c r="E51" s="1">
        <f>SUBTOTAL(109,Elements132451[Totais:])</f>
        <v>44</v>
      </c>
    </row>
  </sheetData>
  <mergeCells count="3">
    <mergeCell ref="A1:E2"/>
    <mergeCell ref="A4:E4"/>
    <mergeCell ref="A5:E5"/>
  </mergeCells>
  <hyperlinks>
    <hyperlink ref="A1" location="'13.2.45'!A1" display="UNIAO SOLDAVEL,COM DIAMETRO DE 60MM.FORNECIMENTO" xr:uid="{00000000-0004-0000-6000-000000000000}"/>
    <hyperlink ref="B1" location="'13.2.45'!A1" display="UNIAO SOLDAVEL,COM DIAMETRO DE 60MM.FORNECIMENTO" xr:uid="{00000000-0004-0000-6000-000001000000}"/>
    <hyperlink ref="C1" location="'13.2.45'!A1" display="UNIAO SOLDAVEL,COM DIAMETRO DE 60MM.FORNECIMENTO" xr:uid="{00000000-0004-0000-6000-000002000000}"/>
    <hyperlink ref="D1" location="'13.2.45'!A1" display="UNIAO SOLDAVEL,COM DIAMETRO DE 60MM.FORNECIMENTO" xr:uid="{00000000-0004-0000-6000-000003000000}"/>
    <hyperlink ref="E1" location="'13.2.45'!A1" display="UNIAO SOLDAVEL,COM DIAMETRO DE 60MM.FORNECIMENTO" xr:uid="{00000000-0004-0000-6000-000004000000}"/>
    <hyperlink ref="A2" location="'13.2.45'!A1" display="UNIAO SOLDAVEL,COM DIAMETRO DE 60MM.FORNECIMENTO" xr:uid="{00000000-0004-0000-6000-000005000000}"/>
    <hyperlink ref="B2" location="'13.2.45'!A1" display="UNIAO SOLDAVEL,COM DIAMETRO DE 60MM.FORNECIMENTO" xr:uid="{00000000-0004-0000-6000-000006000000}"/>
    <hyperlink ref="C2" location="'13.2.45'!A1" display="UNIAO SOLDAVEL,COM DIAMETRO DE 60MM.FORNECIMENTO" xr:uid="{00000000-0004-0000-6000-000007000000}"/>
    <hyperlink ref="D2" location="'13.2.45'!A1" display="UNIAO SOLDAVEL,COM DIAMETRO DE 60MM.FORNECIMENTO" xr:uid="{00000000-0004-0000-6000-000008000000}"/>
    <hyperlink ref="E2" location="'13.2.45'!A1" display="UNIAO SOLDAVEL,COM DIAMETRO DE 60MM.FORNECIMENTO" xr:uid="{00000000-0004-0000-6000-000009000000}"/>
    <hyperlink ref="A4" location="'13.2.45'!A1" display="Conexões de tubo (Afastamento)" xr:uid="{00000000-0004-0000-6000-00000A000000}"/>
    <hyperlink ref="B4" location="'13.2.45'!A1" display="Conexões de tubo (Afastamento)" xr:uid="{00000000-0004-0000-6000-00000B000000}"/>
    <hyperlink ref="C4" location="'13.2.45'!A1" display="Conexões de tubo (Afastamento)" xr:uid="{00000000-0004-0000-6000-00000C000000}"/>
    <hyperlink ref="D4" location="'13.2.45'!A1" display="Conexões de tubo (Afastamento)" xr:uid="{00000000-0004-0000-6000-00000D000000}"/>
    <hyperlink ref="E4" location="'13.2.45'!A1" display="Conexões de tubo (Afastamento)" xr:uid="{00000000-0004-0000-6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100-000000000000}">
  <dimension ref="A1:E11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185</v>
      </c>
      <c r="B1" s="23" t="s">
        <v>185</v>
      </c>
      <c r="C1" s="23" t="s">
        <v>185</v>
      </c>
      <c r="D1" s="23" t="s">
        <v>185</v>
      </c>
      <c r="E1" s="23" t="s">
        <v>185</v>
      </c>
    </row>
    <row r="2" spans="1:5">
      <c r="A2" s="23" t="s">
        <v>185</v>
      </c>
      <c r="B2" s="23" t="s">
        <v>185</v>
      </c>
      <c r="C2" s="23" t="s">
        <v>185</v>
      </c>
      <c r="D2" s="23" t="s">
        <v>185</v>
      </c>
      <c r="E2" s="23" t="s">
        <v>185</v>
      </c>
    </row>
    <row r="4" spans="1:5">
      <c r="A4" s="18" t="s">
        <v>239</v>
      </c>
      <c r="B4" s="18" t="s">
        <v>239</v>
      </c>
      <c r="C4" s="18" t="s">
        <v>239</v>
      </c>
      <c r="D4" s="18" t="s">
        <v>239</v>
      </c>
      <c r="E4" s="18" t="s">
        <v>239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258</v>
      </c>
      <c r="D7" s="11" t="s">
        <v>3264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258</v>
      </c>
      <c r="D8" s="11" t="s">
        <v>3265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258</v>
      </c>
      <c r="D9" s="11" t="s">
        <v>3266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258</v>
      </c>
      <c r="D10" s="11" t="s">
        <v>3267</v>
      </c>
      <c r="E10" s="11">
        <v>1</v>
      </c>
    </row>
    <row r="11" spans="1:5">
      <c r="A11" s="1" t="s">
        <v>207</v>
      </c>
      <c r="B11" s="1" t="s">
        <v>207</v>
      </c>
      <c r="C11" s="1">
        <f>SUBTOTAL(103,Elements132461[Elemento])</f>
        <v>4</v>
      </c>
      <c r="D11" s="1" t="s">
        <v>207</v>
      </c>
      <c r="E11" s="1">
        <f>SUBTOTAL(109,Elements132461[Totais:])</f>
        <v>4</v>
      </c>
    </row>
  </sheetData>
  <mergeCells count="3">
    <mergeCell ref="A1:E2"/>
    <mergeCell ref="A4:E4"/>
    <mergeCell ref="A5:E5"/>
  </mergeCells>
  <hyperlinks>
    <hyperlink ref="A1" location="'13.2.46'!A1" display="VALVULA DE PE,COM CRIVO EM PVC,SOLDAVEL,COM DIAMETRO DE 50MM .FORNECIMENTO E COLOCACAO" xr:uid="{00000000-0004-0000-6100-000000000000}"/>
    <hyperlink ref="B1" location="'13.2.46'!A1" display="VALVULA DE PE,COM CRIVO EM PVC,SOLDAVEL,COM DIAMETRO DE 50MM .FORNECIMENTO E COLOCACAO" xr:uid="{00000000-0004-0000-6100-000001000000}"/>
    <hyperlink ref="C1" location="'13.2.46'!A1" display="VALVULA DE PE,COM CRIVO EM PVC,SOLDAVEL,COM DIAMETRO DE 50MM .FORNECIMENTO E COLOCACAO" xr:uid="{00000000-0004-0000-6100-000002000000}"/>
    <hyperlink ref="D1" location="'13.2.46'!A1" display="VALVULA DE PE,COM CRIVO EM PVC,SOLDAVEL,COM DIAMETRO DE 50MM .FORNECIMENTO E COLOCACAO" xr:uid="{00000000-0004-0000-6100-000003000000}"/>
    <hyperlink ref="E1" location="'13.2.46'!A1" display="VALVULA DE PE,COM CRIVO EM PVC,SOLDAVEL,COM DIAMETRO DE 50MM .FORNECIMENTO E COLOCACAO" xr:uid="{00000000-0004-0000-6100-000004000000}"/>
    <hyperlink ref="A2" location="'13.2.46'!A1" display="VALVULA DE PE,COM CRIVO EM PVC,SOLDAVEL,COM DIAMETRO DE 50MM .FORNECIMENTO E COLOCACAO" xr:uid="{00000000-0004-0000-6100-000005000000}"/>
    <hyperlink ref="B2" location="'13.2.46'!A1" display="VALVULA DE PE,COM CRIVO EM PVC,SOLDAVEL,COM DIAMETRO DE 50MM .FORNECIMENTO E COLOCACAO" xr:uid="{00000000-0004-0000-6100-000006000000}"/>
    <hyperlink ref="C2" location="'13.2.46'!A1" display="VALVULA DE PE,COM CRIVO EM PVC,SOLDAVEL,COM DIAMETRO DE 50MM .FORNECIMENTO E COLOCACAO" xr:uid="{00000000-0004-0000-6100-000007000000}"/>
    <hyperlink ref="D2" location="'13.2.46'!A1" display="VALVULA DE PE,COM CRIVO EM PVC,SOLDAVEL,COM DIAMETRO DE 50MM .FORNECIMENTO E COLOCACAO" xr:uid="{00000000-0004-0000-6100-000008000000}"/>
    <hyperlink ref="E2" location="'13.2.46'!A1" display="VALVULA DE PE,COM CRIVO EM PVC,SOLDAVEL,COM DIAMETRO DE 50MM .FORNECIMENTO E COLOCACAO" xr:uid="{00000000-0004-0000-6100-000009000000}"/>
    <hyperlink ref="A4" location="'13.2.46'!A1" display="Acessórios do tubo (A)" xr:uid="{00000000-0004-0000-6100-00000A000000}"/>
    <hyperlink ref="B4" location="'13.2.46'!A1" display="Acessórios do tubo (A)" xr:uid="{00000000-0004-0000-6100-00000B000000}"/>
    <hyperlink ref="C4" location="'13.2.46'!A1" display="Acessórios do tubo (A)" xr:uid="{00000000-0004-0000-6100-00000C000000}"/>
    <hyperlink ref="D4" location="'13.2.46'!A1" display="Acessórios do tubo (A)" xr:uid="{00000000-0004-0000-6100-00000D000000}"/>
    <hyperlink ref="E4" location="'13.2.46'!A1" display="Acessórios do tubo (A)" xr:uid="{00000000-0004-0000-6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200-000000000000}">
  <dimension ref="A1:E1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189</v>
      </c>
      <c r="B1" s="23" t="s">
        <v>189</v>
      </c>
      <c r="C1" s="23" t="s">
        <v>189</v>
      </c>
      <c r="D1" s="23" t="s">
        <v>189</v>
      </c>
      <c r="E1" s="23" t="s">
        <v>189</v>
      </c>
    </row>
    <row r="2" spans="1:5">
      <c r="A2" s="23" t="s">
        <v>189</v>
      </c>
      <c r="B2" s="23" t="s">
        <v>189</v>
      </c>
      <c r="C2" s="23" t="s">
        <v>189</v>
      </c>
      <c r="D2" s="23" t="s">
        <v>189</v>
      </c>
      <c r="E2" s="23" t="s">
        <v>189</v>
      </c>
    </row>
    <row r="4" spans="1:5">
      <c r="A4" s="18" t="s">
        <v>239</v>
      </c>
      <c r="B4" s="18" t="s">
        <v>239</v>
      </c>
      <c r="C4" s="18" t="s">
        <v>239</v>
      </c>
      <c r="D4" s="18" t="s">
        <v>239</v>
      </c>
      <c r="E4" s="18" t="s">
        <v>239</v>
      </c>
    </row>
    <row r="5" spans="1:5">
      <c r="A5" s="24" t="s">
        <v>207</v>
      </c>
      <c r="B5" s="24" t="s">
        <v>207</v>
      </c>
      <c r="C5" s="24" t="s">
        <v>207</v>
      </c>
      <c r="D5" s="24" t="s">
        <v>207</v>
      </c>
      <c r="E5" s="24" t="s">
        <v>207</v>
      </c>
    </row>
    <row r="6" spans="1:5">
      <c r="A6" s="10" t="s">
        <v>358</v>
      </c>
      <c r="B6" s="10" t="s">
        <v>359</v>
      </c>
      <c r="C6" s="10" t="s">
        <v>360</v>
      </c>
      <c r="D6" s="10" t="s">
        <v>361</v>
      </c>
      <c r="E6" s="10" t="s">
        <v>362</v>
      </c>
    </row>
    <row r="7" spans="1:5" ht="24.75">
      <c r="A7" s="11" t="s">
        <v>363</v>
      </c>
      <c r="B7" s="11" t="s">
        <v>233</v>
      </c>
      <c r="C7" s="11" t="s">
        <v>264</v>
      </c>
      <c r="D7" s="11" t="s">
        <v>3268</v>
      </c>
      <c r="E7" s="11">
        <v>1</v>
      </c>
    </row>
    <row r="8" spans="1:5" ht="24.75">
      <c r="A8" s="11" t="s">
        <v>363</v>
      </c>
      <c r="B8" s="11" t="s">
        <v>233</v>
      </c>
      <c r="C8" s="11" t="s">
        <v>264</v>
      </c>
      <c r="D8" s="11" t="s">
        <v>3269</v>
      </c>
      <c r="E8" s="11">
        <v>1</v>
      </c>
    </row>
    <row r="9" spans="1:5" ht="24.75">
      <c r="A9" s="11" t="s">
        <v>363</v>
      </c>
      <c r="B9" s="11" t="s">
        <v>233</v>
      </c>
      <c r="C9" s="11" t="s">
        <v>264</v>
      </c>
      <c r="D9" s="11" t="s">
        <v>3270</v>
      </c>
      <c r="E9" s="11">
        <v>1</v>
      </c>
    </row>
    <row r="10" spans="1:5" ht="24.75">
      <c r="A10" s="11" t="s">
        <v>363</v>
      </c>
      <c r="B10" s="11" t="s">
        <v>233</v>
      </c>
      <c r="C10" s="11" t="s">
        <v>264</v>
      </c>
      <c r="D10" s="11" t="s">
        <v>3271</v>
      </c>
      <c r="E10" s="11">
        <v>1</v>
      </c>
    </row>
    <row r="11" spans="1:5" ht="24.75">
      <c r="A11" s="11" t="s">
        <v>363</v>
      </c>
      <c r="B11" s="11" t="s">
        <v>233</v>
      </c>
      <c r="C11" s="11" t="s">
        <v>264</v>
      </c>
      <c r="D11" s="11" t="s">
        <v>3272</v>
      </c>
      <c r="E11" s="11">
        <v>1</v>
      </c>
    </row>
    <row r="12" spans="1:5" ht="24.75">
      <c r="A12" s="11" t="s">
        <v>363</v>
      </c>
      <c r="B12" s="11" t="s">
        <v>233</v>
      </c>
      <c r="C12" s="11" t="s">
        <v>264</v>
      </c>
      <c r="D12" s="11" t="s">
        <v>3273</v>
      </c>
      <c r="E12" s="11">
        <v>1</v>
      </c>
    </row>
    <row r="13" spans="1:5" ht="24.75">
      <c r="A13" s="11" t="s">
        <v>363</v>
      </c>
      <c r="B13" s="11" t="s">
        <v>233</v>
      </c>
      <c r="C13" s="11" t="s">
        <v>264</v>
      </c>
      <c r="D13" s="11" t="s">
        <v>3274</v>
      </c>
      <c r="E13" s="11">
        <v>1</v>
      </c>
    </row>
    <row r="14" spans="1:5" ht="24.75">
      <c r="A14" s="11" t="s">
        <v>363</v>
      </c>
      <c r="B14" s="11" t="s">
        <v>233</v>
      </c>
      <c r="C14" s="11" t="s">
        <v>264</v>
      </c>
      <c r="D14" s="11" t="s">
        <v>3275</v>
      </c>
      <c r="E14" s="11">
        <v>1</v>
      </c>
    </row>
    <row r="15" spans="1:5">
      <c r="A15" s="1" t="s">
        <v>207</v>
      </c>
      <c r="B15" s="1" t="s">
        <v>207</v>
      </c>
      <c r="C15" s="1">
        <f>SUBTOTAL(103,Elements132471[Elemento])</f>
        <v>8</v>
      </c>
      <c r="D15" s="1" t="s">
        <v>207</v>
      </c>
      <c r="E15" s="1">
        <f>SUBTOTAL(109,Elements132471[Totais:])</f>
        <v>8</v>
      </c>
    </row>
  </sheetData>
  <mergeCells count="3">
    <mergeCell ref="A1:E2"/>
    <mergeCell ref="A4:E4"/>
    <mergeCell ref="A5:E5"/>
  </mergeCells>
  <hyperlinks>
    <hyperlink ref="A1" location="'13.2.47'!A1" display="VALVULA DE RETENCAO VERTICAL,EM PVC,SOLDAVEL,COM DIAMETRO DE 60MM.FORNECIMENTO E COLOCACAO" xr:uid="{00000000-0004-0000-6200-000000000000}"/>
    <hyperlink ref="B1" location="'13.2.47'!A1" display="VALVULA DE RETENCAO VERTICAL,EM PVC,SOLDAVEL,COM DIAMETRO DE 60MM.FORNECIMENTO E COLOCACAO" xr:uid="{00000000-0004-0000-6200-000001000000}"/>
    <hyperlink ref="C1" location="'13.2.47'!A1" display="VALVULA DE RETENCAO VERTICAL,EM PVC,SOLDAVEL,COM DIAMETRO DE 60MM.FORNECIMENTO E COLOCACAO" xr:uid="{00000000-0004-0000-6200-000002000000}"/>
    <hyperlink ref="D1" location="'13.2.47'!A1" display="VALVULA DE RETENCAO VERTICAL,EM PVC,SOLDAVEL,COM DIAMETRO DE 60MM.FORNECIMENTO E COLOCACAO" xr:uid="{00000000-0004-0000-6200-000003000000}"/>
    <hyperlink ref="E1" location="'13.2.47'!A1" display="VALVULA DE RETENCAO VERTICAL,EM PVC,SOLDAVEL,COM DIAMETRO DE 60MM.FORNECIMENTO E COLOCACAO" xr:uid="{00000000-0004-0000-6200-000004000000}"/>
    <hyperlink ref="A2" location="'13.2.47'!A1" display="VALVULA DE RETENCAO VERTICAL,EM PVC,SOLDAVEL,COM DIAMETRO DE 60MM.FORNECIMENTO E COLOCACAO" xr:uid="{00000000-0004-0000-6200-000005000000}"/>
    <hyperlink ref="B2" location="'13.2.47'!A1" display="VALVULA DE RETENCAO VERTICAL,EM PVC,SOLDAVEL,COM DIAMETRO DE 60MM.FORNECIMENTO E COLOCACAO" xr:uid="{00000000-0004-0000-6200-000006000000}"/>
    <hyperlink ref="C2" location="'13.2.47'!A1" display="VALVULA DE RETENCAO VERTICAL,EM PVC,SOLDAVEL,COM DIAMETRO DE 60MM.FORNECIMENTO E COLOCACAO" xr:uid="{00000000-0004-0000-6200-000007000000}"/>
    <hyperlink ref="D2" location="'13.2.47'!A1" display="VALVULA DE RETENCAO VERTICAL,EM PVC,SOLDAVEL,COM DIAMETRO DE 60MM.FORNECIMENTO E COLOCACAO" xr:uid="{00000000-0004-0000-6200-000008000000}"/>
    <hyperlink ref="E2" location="'13.2.47'!A1" display="VALVULA DE RETENCAO VERTICAL,EM PVC,SOLDAVEL,COM DIAMETRO DE 60MM.FORNECIMENTO E COLOCACAO" xr:uid="{00000000-0004-0000-6200-000009000000}"/>
    <hyperlink ref="A4" location="'13.2.47'!A1" display="Acessórios do tubo (A)" xr:uid="{00000000-0004-0000-6200-00000A000000}"/>
    <hyperlink ref="B4" location="'13.2.47'!A1" display="Acessórios do tubo (A)" xr:uid="{00000000-0004-0000-6200-00000B000000}"/>
    <hyperlink ref="C4" location="'13.2.47'!A1" display="Acessórios do tubo (A)" xr:uid="{00000000-0004-0000-6200-00000C000000}"/>
    <hyperlink ref="D4" location="'13.2.47'!A1" display="Acessórios do tubo (A)" xr:uid="{00000000-0004-0000-6200-00000D000000}"/>
    <hyperlink ref="E4" location="'13.2.47'!A1" display="Acessórios do tubo (A)" xr:uid="{00000000-0004-0000-6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102</vt:i4>
      </vt:variant>
    </vt:vector>
  </HeadingPairs>
  <TitlesOfParts>
    <vt:vector size="102" baseType="lpstr">
      <vt:lpstr>Orçamento</vt:lpstr>
      <vt:lpstr>13.2</vt:lpstr>
      <vt:lpstr>13.2.1</vt:lpstr>
      <vt:lpstr>13.2.2</vt:lpstr>
      <vt:lpstr>13.2.3</vt:lpstr>
      <vt:lpstr>13.2.4</vt:lpstr>
      <vt:lpstr>13.2.5</vt:lpstr>
      <vt:lpstr>13.2.6</vt:lpstr>
      <vt:lpstr>13.2.7</vt:lpstr>
      <vt:lpstr>13.2.8</vt:lpstr>
      <vt:lpstr>13.2.9</vt:lpstr>
      <vt:lpstr>13.2.10</vt:lpstr>
      <vt:lpstr>13.2.11</vt:lpstr>
      <vt:lpstr>13.2.12</vt:lpstr>
      <vt:lpstr>13.2.13</vt:lpstr>
      <vt:lpstr>13.2.14</vt:lpstr>
      <vt:lpstr>13.2.15</vt:lpstr>
      <vt:lpstr>13.2.16</vt:lpstr>
      <vt:lpstr>13.2.17</vt:lpstr>
      <vt:lpstr>13.2.18</vt:lpstr>
      <vt:lpstr>13.2.19</vt:lpstr>
      <vt:lpstr>13.2.20</vt:lpstr>
      <vt:lpstr>13.2.21</vt:lpstr>
      <vt:lpstr>13.2.22</vt:lpstr>
      <vt:lpstr>13.2.23</vt:lpstr>
      <vt:lpstr>13.2.24</vt:lpstr>
      <vt:lpstr>13.2.25</vt:lpstr>
      <vt:lpstr>13.2.26</vt:lpstr>
      <vt:lpstr>13.2.27</vt:lpstr>
      <vt:lpstr>13.2.28</vt:lpstr>
      <vt:lpstr>13.2.29</vt:lpstr>
      <vt:lpstr>13.2.30</vt:lpstr>
      <vt:lpstr>13.2.31</vt:lpstr>
      <vt:lpstr>13.2.32</vt:lpstr>
      <vt:lpstr>13.2.33</vt:lpstr>
      <vt:lpstr>13.2.34</vt:lpstr>
      <vt:lpstr>13.2.35</vt:lpstr>
      <vt:lpstr>13.2.36</vt:lpstr>
      <vt:lpstr>13.2.37</vt:lpstr>
      <vt:lpstr>13.2.38</vt:lpstr>
      <vt:lpstr>13.2.39</vt:lpstr>
      <vt:lpstr>13.2.40</vt:lpstr>
      <vt:lpstr>13.2.41</vt:lpstr>
      <vt:lpstr>13.2.42</vt:lpstr>
      <vt:lpstr>13.2.43</vt:lpstr>
      <vt:lpstr>13.2.44</vt:lpstr>
      <vt:lpstr>13.2.45</vt:lpstr>
      <vt:lpstr>13.2.46</vt:lpstr>
      <vt:lpstr>13.2.47</vt:lpstr>
      <vt:lpstr>13.2.48</vt:lpstr>
      <vt:lpstr>13.2.49</vt:lpstr>
      <vt:lpstr>13.2.50</vt:lpstr>
      <vt:lpstr>13.2.1E</vt:lpstr>
      <vt:lpstr>13.2.2E</vt:lpstr>
      <vt:lpstr>13.2.3E</vt:lpstr>
      <vt:lpstr>13.2.4E</vt:lpstr>
      <vt:lpstr>13.2.5E</vt:lpstr>
      <vt:lpstr>13.2.6E</vt:lpstr>
      <vt:lpstr>13.2.7E</vt:lpstr>
      <vt:lpstr>13.2.8E</vt:lpstr>
      <vt:lpstr>13.2.9E</vt:lpstr>
      <vt:lpstr>13.2.10E</vt:lpstr>
      <vt:lpstr>13.2.11E</vt:lpstr>
      <vt:lpstr>13.2.12E</vt:lpstr>
      <vt:lpstr>13.2.13E</vt:lpstr>
      <vt:lpstr>13.2.14E</vt:lpstr>
      <vt:lpstr>13.2.15E</vt:lpstr>
      <vt:lpstr>13.2.16E</vt:lpstr>
      <vt:lpstr>13.2.17E</vt:lpstr>
      <vt:lpstr>13.2.18E</vt:lpstr>
      <vt:lpstr>13.2.19E</vt:lpstr>
      <vt:lpstr>13.2.20E</vt:lpstr>
      <vt:lpstr>13.2.21E</vt:lpstr>
      <vt:lpstr>13.2.22E</vt:lpstr>
      <vt:lpstr>13.2.23E</vt:lpstr>
      <vt:lpstr>13.2.24E</vt:lpstr>
      <vt:lpstr>13.2.25E</vt:lpstr>
      <vt:lpstr>13.2.26E</vt:lpstr>
      <vt:lpstr>13.2.27E</vt:lpstr>
      <vt:lpstr>13.2.28E</vt:lpstr>
      <vt:lpstr>13.2.29E</vt:lpstr>
      <vt:lpstr>13.2.30E</vt:lpstr>
      <vt:lpstr>13.2.31E</vt:lpstr>
      <vt:lpstr>13.2.32E</vt:lpstr>
      <vt:lpstr>13.2.33E</vt:lpstr>
      <vt:lpstr>13.2.34E</vt:lpstr>
      <vt:lpstr>13.2.35E</vt:lpstr>
      <vt:lpstr>13.2.36E</vt:lpstr>
      <vt:lpstr>13.2.37E</vt:lpstr>
      <vt:lpstr>13.2.38E</vt:lpstr>
      <vt:lpstr>13.2.39E</vt:lpstr>
      <vt:lpstr>13.2.40E</vt:lpstr>
      <vt:lpstr>13.2.41E</vt:lpstr>
      <vt:lpstr>13.2.42E</vt:lpstr>
      <vt:lpstr>13.2.43E</vt:lpstr>
      <vt:lpstr>13.2.44E</vt:lpstr>
      <vt:lpstr>13.2.45E</vt:lpstr>
      <vt:lpstr>13.2.46E</vt:lpstr>
      <vt:lpstr>13.2.47E</vt:lpstr>
      <vt:lpstr>13.2.48E</vt:lpstr>
      <vt:lpstr>13.2.49E</vt:lpstr>
      <vt:lpstr>13.2.50E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claudio castro</cp:lastModifiedBy>
  <dcterms:modified xsi:type="dcterms:W3CDTF">2025-05-21T16:12:33Z</dcterms:modified>
</cp:coreProperties>
</file>